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M:\Intra_Diretorias\419\Emissores\Companhias\1.2. Planilha de distribuições e adesões\Distribuições Públicas\Imprensa\2025\"/>
    </mc:Choice>
  </mc:AlternateContent>
  <xr:revisionPtr revIDLastSave="0" documentId="13_ncr:1_{37F9D218-BDD3-46BF-94C7-65272C5B29C5}" xr6:coauthVersionLast="47" xr6:coauthVersionMax="47" xr10:uidLastSave="{00000000-0000-0000-0000-000000000000}"/>
  <bookViews>
    <workbookView xWindow="28680" yWindow="-120" windowWidth="29040" windowHeight="15720" activeTab="1" xr2:uid="{4DD48DF9-589F-4CB0-8898-701DAA0B5617}"/>
  </bookViews>
  <sheets>
    <sheet name="SITE (Imprensa)_PT" sheetId="1" r:id="rId1"/>
    <sheet name="SITE (Imprensa)_ING" sheetId="2" r:id="rId2"/>
  </sheets>
  <externalReferences>
    <externalReference r:id="rId3"/>
  </externalReferences>
  <definedNames>
    <definedName name="__ANO68" localSheetId="1">#REF!</definedName>
    <definedName name="__ANO68">#REF!</definedName>
    <definedName name="__ANO69" localSheetId="1">#REF!</definedName>
    <definedName name="__ANO69">#REF!</definedName>
    <definedName name="__ANO70" localSheetId="1">#REF!</definedName>
    <definedName name="__ANO70">#REF!</definedName>
    <definedName name="__ANO71" localSheetId="1">#REF!</definedName>
    <definedName name="__ANO71">#REF!</definedName>
    <definedName name="__ANO72" localSheetId="1">#REF!</definedName>
    <definedName name="__ANO72">#REF!</definedName>
    <definedName name="__ANO73" localSheetId="1">#REF!</definedName>
    <definedName name="__ANO73">#REF!</definedName>
    <definedName name="__ANO74" localSheetId="1">#REF!</definedName>
    <definedName name="__ANO74">#REF!</definedName>
    <definedName name="__ANO75" localSheetId="1">#REF!</definedName>
    <definedName name="__ANO75">#REF!</definedName>
    <definedName name="__ANO76" localSheetId="1">#REF!</definedName>
    <definedName name="__ANO76">#REF!</definedName>
    <definedName name="__ANO77" localSheetId="1">#REF!</definedName>
    <definedName name="__ANO77">#REF!</definedName>
    <definedName name="__ANO78" localSheetId="1">#REF!</definedName>
    <definedName name="__ANO78">#REF!</definedName>
    <definedName name="__ANO79" localSheetId="1">#REF!</definedName>
    <definedName name="__ANO79">#REF!</definedName>
    <definedName name="__ANO80" localSheetId="1">#REF!</definedName>
    <definedName name="__ANO80">#REF!</definedName>
    <definedName name="__ANO81" localSheetId="1">#REF!</definedName>
    <definedName name="__ANO81">#REF!</definedName>
    <definedName name="__ANO82" localSheetId="1">#REF!</definedName>
    <definedName name="__ANO82">#REF!</definedName>
    <definedName name="__ANO83" localSheetId="1">#REF!</definedName>
    <definedName name="__ANO83">#REF!</definedName>
    <definedName name="__ANO84" localSheetId="1">#REF!</definedName>
    <definedName name="__ANO84">#REF!</definedName>
    <definedName name="__ANO85" localSheetId="1">#REF!</definedName>
    <definedName name="__ANO85">#REF!</definedName>
    <definedName name="__ANO86" localSheetId="1">#REF!</definedName>
    <definedName name="__ANO86">#REF!</definedName>
    <definedName name="__ANO87" localSheetId="1">#REF!</definedName>
    <definedName name="__ANO87">#REF!</definedName>
    <definedName name="__ANO88" localSheetId="1">#REF!</definedName>
    <definedName name="__ANO88">#REF!</definedName>
    <definedName name="__ANO89" localSheetId="1">#REF!</definedName>
    <definedName name="__ANO89">#REF!</definedName>
    <definedName name="__ANO90" localSheetId="1">#REF!</definedName>
    <definedName name="__ANO90">#REF!</definedName>
    <definedName name="__ANO91" localSheetId="1">#REF!</definedName>
    <definedName name="__ANO91">#REF!</definedName>
    <definedName name="__ANO92" localSheetId="1">#REF!</definedName>
    <definedName name="__ANO92">#REF!</definedName>
    <definedName name="__ANO93" localSheetId="1">#REF!</definedName>
    <definedName name="__ANO93">#REF!</definedName>
    <definedName name="__ANO94" localSheetId="1">#REF!</definedName>
    <definedName name="__ANO94">#REF!</definedName>
    <definedName name="__ANO95" localSheetId="1">#REF!</definedName>
    <definedName name="__ANO95">#REF!</definedName>
    <definedName name="__ANO96" localSheetId="1">#REF!</definedName>
    <definedName name="__ANO96">#REF!</definedName>
    <definedName name="_ANO68" localSheetId="1">#REF!</definedName>
    <definedName name="_ANO68">#REF!</definedName>
    <definedName name="_ANO69" localSheetId="1">#REF!</definedName>
    <definedName name="_ANO69">#REF!</definedName>
    <definedName name="_ANO70" localSheetId="1">#REF!</definedName>
    <definedName name="_ANO70">#REF!</definedName>
    <definedName name="_ANO71" localSheetId="1">#REF!</definedName>
    <definedName name="_ANO71">#REF!</definedName>
    <definedName name="_ANO72" localSheetId="1">#REF!</definedName>
    <definedName name="_ANO72">#REF!</definedName>
    <definedName name="_ANO73" localSheetId="1">#REF!</definedName>
    <definedName name="_ANO73">#REF!</definedName>
    <definedName name="_ANO74" localSheetId="1">#REF!</definedName>
    <definedName name="_ANO74">#REF!</definedName>
    <definedName name="_ANO75" localSheetId="1">#REF!</definedName>
    <definedName name="_ANO75">#REF!</definedName>
    <definedName name="_ANO76" localSheetId="1">#REF!</definedName>
    <definedName name="_ANO76">#REF!</definedName>
    <definedName name="_ANO77" localSheetId="1">#REF!</definedName>
    <definedName name="_ANO77">#REF!</definedName>
    <definedName name="_ANO78" localSheetId="1">#REF!</definedName>
    <definedName name="_ANO78">#REF!</definedName>
    <definedName name="_ANO79" localSheetId="1">#REF!</definedName>
    <definedName name="_ANO79">#REF!</definedName>
    <definedName name="_ANO80" localSheetId="1">#REF!</definedName>
    <definedName name="_ANO80">#REF!</definedName>
    <definedName name="_ANO81" localSheetId="1">#REF!</definedName>
    <definedName name="_ANO81">#REF!</definedName>
    <definedName name="_ANO82" localSheetId="1">#REF!</definedName>
    <definedName name="_ANO82">#REF!</definedName>
    <definedName name="_ANO83" localSheetId="1">#REF!</definedName>
    <definedName name="_ANO83">#REF!</definedName>
    <definedName name="_ANO84" localSheetId="1">#REF!</definedName>
    <definedName name="_ANO84">#REF!</definedName>
    <definedName name="_ANO85" localSheetId="1">#REF!</definedName>
    <definedName name="_ANO85">#REF!</definedName>
    <definedName name="_ANO86" localSheetId="1">#REF!</definedName>
    <definedName name="_ANO86">#REF!</definedName>
    <definedName name="_ANO87" localSheetId="1">#REF!</definedName>
    <definedName name="_ANO87">#REF!</definedName>
    <definedName name="_ANO88" localSheetId="1">#REF!</definedName>
    <definedName name="_ANO88">#REF!</definedName>
    <definedName name="_ANO89" localSheetId="1">#REF!</definedName>
    <definedName name="_ANO89">#REF!</definedName>
    <definedName name="_ANO90" localSheetId="1">#REF!</definedName>
    <definedName name="_ANO90">#REF!</definedName>
    <definedName name="_ANO91" localSheetId="1">#REF!</definedName>
    <definedName name="_ANO91">#REF!</definedName>
    <definedName name="_ANO92" localSheetId="1">#REF!</definedName>
    <definedName name="_ANO92">#REF!</definedName>
    <definedName name="_ANO93" localSheetId="1">#REF!</definedName>
    <definedName name="_ANO93">#REF!</definedName>
    <definedName name="_ANO94" localSheetId="1">#REF!</definedName>
    <definedName name="_ANO94">#REF!</definedName>
    <definedName name="_ANO95" localSheetId="1">#REF!</definedName>
    <definedName name="_ANO95">#REF!</definedName>
    <definedName name="_ANO96" localSheetId="1">#REF!</definedName>
    <definedName name="_ANO96">#REF!</definedName>
    <definedName name="_xlnm._FilterDatabase" localSheetId="1" hidden="1">'SITE (Imprensa)_ING'!$B$3:$T$538</definedName>
    <definedName name="_xlnm._FilterDatabase" localSheetId="0" hidden="1">'SITE (Imprensa)_PT'!$A$3:$X$471</definedName>
    <definedName name="d">#REF!</definedName>
    <definedName name="Print_Area_MI" localSheetId="1">#REF!</definedName>
    <definedName name="Print_Area_MI">#REF!</definedName>
    <definedName name="s">#REF!</definedName>
    <definedName name="_xlnm.Print_Titles" localSheetId="0">'SITE (Imprensa)_PT'!$B:$J,'SITE (Imprensa)_PT'!$2:$2</definedName>
    <definedName name="Z_23329F0B_DF64_4063_914F_D1D9E82FFA17_.wvu.FilterData" localSheetId="1" hidden="1">'SITE (Imprensa)_ING'!$B$3:$O$155</definedName>
    <definedName name="Z_23329F0B_DF64_4063_914F_D1D9E82FFA17_.wvu.FilterData" localSheetId="0" hidden="1">'SITE (Imprensa)_PT'!$B$3:$S$235</definedName>
    <definedName name="Z_2B778610_FC57_4C17_8283_6FC2B8F78E6A_.wvu.FilterData" localSheetId="1" hidden="1">'SITE (Imprensa)_ING'!$B$3:$O$155</definedName>
    <definedName name="Z_2B778610_FC57_4C17_8283_6FC2B8F78E6A_.wvu.FilterData" localSheetId="0" hidden="1">'SITE (Imprensa)_PT'!$B$3:$S$235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31" i="2" l="1"/>
  <c r="S531" i="2"/>
  <c r="R531" i="2"/>
  <c r="Q531" i="2"/>
  <c r="P531" i="2"/>
  <c r="O531" i="2"/>
  <c r="N531" i="2"/>
  <c r="M531" i="2"/>
  <c r="L531" i="2"/>
  <c r="K531" i="2"/>
  <c r="J531" i="2"/>
  <c r="I531" i="2"/>
  <c r="H531" i="2"/>
  <c r="F531" i="2"/>
  <c r="E531" i="2"/>
  <c r="C531" i="2"/>
  <c r="B531" i="2"/>
  <c r="S531" i="1"/>
  <c r="R531" i="1"/>
  <c r="Q531" i="1"/>
  <c r="P531" i="1"/>
  <c r="O531" i="1"/>
  <c r="N531" i="1"/>
  <c r="M531" i="1"/>
  <c r="L531" i="1"/>
  <c r="K531" i="1"/>
  <c r="J531" i="1"/>
  <c r="I531" i="1"/>
  <c r="H531" i="1"/>
  <c r="F531" i="1"/>
  <c r="E531" i="1"/>
  <c r="D531" i="1"/>
  <c r="C531" i="1"/>
  <c r="B531" i="1"/>
  <c r="X18" i="2"/>
  <c r="W5" i="2"/>
  <c r="W7" i="2"/>
  <c r="W23" i="2"/>
  <c r="Y22" i="2"/>
  <c r="X19" i="2"/>
  <c r="X22" i="1"/>
  <c r="V16" i="1"/>
  <c r="X14" i="1"/>
  <c r="X11" i="1"/>
  <c r="X6" i="1"/>
  <c r="V18" i="1"/>
  <c r="V11" i="1"/>
  <c r="V12" i="1"/>
  <c r="X17" i="1"/>
  <c r="W22" i="1"/>
  <c r="W13" i="2" l="1"/>
  <c r="W21" i="2"/>
  <c r="X8" i="2"/>
  <c r="Y11" i="2"/>
  <c r="X16" i="2"/>
  <c r="Y19" i="2"/>
  <c r="X5" i="2"/>
  <c r="Y8" i="2"/>
  <c r="W10" i="2"/>
  <c r="X13" i="2"/>
  <c r="Y16" i="2"/>
  <c r="W18" i="2"/>
  <c r="X21" i="2"/>
  <c r="W15" i="2"/>
  <c r="W4" i="2"/>
  <c r="X7" i="2"/>
  <c r="Y10" i="2"/>
  <c r="W12" i="2"/>
  <c r="X15" i="2"/>
  <c r="Y18" i="2"/>
  <c r="W20" i="2"/>
  <c r="X23" i="2"/>
  <c r="X10" i="2"/>
  <c r="Y21" i="2"/>
  <c r="X4" i="2"/>
  <c r="Y7" i="2"/>
  <c r="W9" i="2"/>
  <c r="X12" i="2"/>
  <c r="Y15" i="2"/>
  <c r="W17" i="2"/>
  <c r="X20" i="2"/>
  <c r="Y23" i="2"/>
  <c r="Y13" i="2"/>
  <c r="Y4" i="2"/>
  <c r="W6" i="2"/>
  <c r="X9" i="2"/>
  <c r="Y12" i="2"/>
  <c r="W14" i="2"/>
  <c r="X17" i="2"/>
  <c r="Y20" i="2"/>
  <c r="W22" i="2"/>
  <c r="Y5" i="2"/>
  <c r="X6" i="2"/>
  <c r="Y9" i="2"/>
  <c r="W11" i="2"/>
  <c r="X14" i="2"/>
  <c r="Y17" i="2"/>
  <c r="W19" i="2"/>
  <c r="X22" i="2"/>
  <c r="Y6" i="2"/>
  <c r="W8" i="2"/>
  <c r="X11" i="2"/>
  <c r="Y14" i="2"/>
  <c r="W16" i="2"/>
  <c r="W16" i="1"/>
  <c r="X19" i="1"/>
  <c r="V21" i="1"/>
  <c r="V5" i="1"/>
  <c r="V10" i="1"/>
  <c r="W21" i="1"/>
  <c r="W8" i="1"/>
  <c r="W13" i="1"/>
  <c r="W18" i="1"/>
  <c r="V4" i="1"/>
  <c r="W15" i="1"/>
  <c r="X18" i="1"/>
  <c r="V20" i="1"/>
  <c r="W23" i="1"/>
  <c r="V7" i="1"/>
  <c r="V15" i="1"/>
  <c r="V23" i="1"/>
  <c r="W4" i="1"/>
  <c r="X7" i="1"/>
  <c r="V9" i="1"/>
  <c r="W12" i="1"/>
  <c r="X15" i="1"/>
  <c r="V17" i="1"/>
  <c r="W20" i="1"/>
  <c r="X23" i="1"/>
  <c r="V8" i="1"/>
  <c r="W11" i="1"/>
  <c r="W19" i="1"/>
  <c r="V13" i="1"/>
  <c r="W5" i="1"/>
  <c r="X8" i="1"/>
  <c r="X16" i="1"/>
  <c r="X5" i="1"/>
  <c r="W10" i="1"/>
  <c r="X13" i="1"/>
  <c r="X21" i="1"/>
  <c r="W7" i="1"/>
  <c r="X10" i="1"/>
  <c r="X4" i="1"/>
  <c r="V6" i="1"/>
  <c r="W9" i="1"/>
  <c r="X12" i="1"/>
  <c r="V14" i="1"/>
  <c r="W17" i="1"/>
  <c r="X20" i="1"/>
  <c r="V22" i="1"/>
  <c r="W6" i="1"/>
  <c r="X9" i="1"/>
  <c r="W14" i="1"/>
  <c r="V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Sup. de Regulação, Enforcement e Orientação</author>
  </authors>
  <commentList>
    <comment ref="I370" authorId="0" shapeId="0" xr:uid="{16B3E140-5917-400B-B0BA-72389CBD0C98}">
      <text>
        <r>
          <rPr>
            <sz val="9"/>
            <color indexed="81"/>
            <rFont val="Segoe UI"/>
            <family val="2"/>
          </rPr>
          <t>Preço ponderado pela proporção entre ações ON e PN. No lançamento da oferta, 
as ON foram precificadas em R$ 29,78 e as PN em R$ 34,50</t>
        </r>
      </text>
    </comment>
  </commentList>
</comments>
</file>

<file path=xl/sharedStrings.xml><?xml version="1.0" encoding="utf-8"?>
<sst xmlns="http://schemas.openxmlformats.org/spreadsheetml/2006/main" count="6394" uniqueCount="672">
  <si>
    <t>DADOS DA COMPANHIA</t>
  </si>
  <si>
    <t xml:space="preserve"> INFORMAÇÕES DA OFERTA</t>
  </si>
  <si>
    <t>ANÚNCIO DE ENCERRAMENTO</t>
  </si>
  <si>
    <t>PARTICIPAÇÃO DOS INVESTIDORES (%) ³</t>
  </si>
  <si>
    <t>VOLUME TOTAL (R$)</t>
  </si>
  <si>
    <t>NOME DE PREGÃO</t>
  </si>
  <si>
    <t>LISTAGEM NA OFERTA</t>
  </si>
  <si>
    <t>CLASSIFICAÇÃO SETORIAL (SEGMENTO)</t>
  </si>
  <si>
    <t>COORDENADOR LÍDER</t>
  </si>
  <si>
    <t>CLASSIFICAÇÃO</t>
  </si>
  <si>
    <t>TIPO</t>
  </si>
  <si>
    <t>FIXAÇÃO DE PREÇO</t>
  </si>
  <si>
    <r>
      <t>PREÇO POR AÇÃO / UNIT / BDR (LÇTO.)</t>
    </r>
    <r>
      <rPr>
        <b/>
        <vertAlign val="superscript"/>
        <sz val="10"/>
        <color indexed="9"/>
        <rFont val="Arial"/>
        <family val="2"/>
      </rPr>
      <t>4</t>
    </r>
  </si>
  <si>
    <t>INÍCIO DE NEGOCIAÇÃO</t>
  </si>
  <si>
    <t>Nº DE PESSOAS FÍSICAS</t>
  </si>
  <si>
    <t>Nº TOTAL DE INVESTIDORES</t>
  </si>
  <si>
    <t>VOLUME PRIMÁRIA (R$)</t>
  </si>
  <si>
    <t>VOLUME SECUNDÁRIA (R$)</t>
  </si>
  <si>
    <t>VAREJO</t>
  </si>
  <si>
    <t>INSTITUCIONAL</t>
  </si>
  <si>
    <t>ESTRANGEIROS</t>
  </si>
  <si>
    <t>OUTROS</t>
  </si>
  <si>
    <t>ANO</t>
  </si>
  <si>
    <t>IPO</t>
  </si>
  <si>
    <t>FOLLOW-ON</t>
  </si>
  <si>
    <t>TOTAL</t>
  </si>
  <si>
    <t>Serviços Médicos Hospitalares, Análises e Diagnósticos</t>
  </si>
  <si>
    <t>BRF SA¹</t>
  </si>
  <si>
    <r>
      <t>G2D INVEST</t>
    </r>
    <r>
      <rPr>
        <vertAlign val="superscript"/>
        <sz val="10"/>
        <rFont val="Arial"/>
        <family val="2"/>
      </rPr>
      <t>2</t>
    </r>
  </si>
  <si>
    <t>RCVM 160 - Rito Automático</t>
  </si>
  <si>
    <t>¹ Dados referentes somente à ("Oferta Brasileira").</t>
  </si>
  <si>
    <t>² Dados preliminares.</t>
  </si>
  <si>
    <t>³ Antes da Recompra no Âmbito das Atividades de Estabilização.</t>
  </si>
  <si>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 xml:space="preserve"> Preço ponderado quando se tratar de oferta pública de ações ON e PN.</t>
    </r>
  </si>
  <si>
    <t>N/D -  Não disponível</t>
  </si>
  <si>
    <t>COMPANY DATA</t>
  </si>
  <si>
    <t>OFFERING INFORMATION</t>
  </si>
  <si>
    <t>OFFERING DATA</t>
  </si>
  <si>
    <t>INVESTORS PARTICIPATION (%) ³</t>
  </si>
  <si>
    <t xml:space="preserve"> TOTAL VALUE (R$)</t>
  </si>
  <si>
    <t>TRADING NAME</t>
  </si>
  <si>
    <t>LISTING SEGMENT</t>
  </si>
  <si>
    <t>INDUSTRY CLASSIFICATION</t>
  </si>
  <si>
    <t>UNDERWRITER</t>
  </si>
  <si>
    <t>CLASSIFICATION</t>
  </si>
  <si>
    <t>PRICE FIXING DATE (DATE/MONTH/YEAR)</t>
  </si>
  <si>
    <r>
      <t xml:space="preserve">PRICE PER SHARE / UNIT / BDR </t>
    </r>
    <r>
      <rPr>
        <b/>
        <vertAlign val="superscript"/>
        <sz val="10"/>
        <color indexed="9"/>
        <rFont val="Arial"/>
        <family val="2"/>
      </rPr>
      <t>4</t>
    </r>
  </si>
  <si>
    <t>DATE OF NEGOTIATION</t>
  </si>
  <si>
    <t>NUMBER OF INDIVIDUALS</t>
  </si>
  <si>
    <t>NUMBER OF INVESTORS</t>
  </si>
  <si>
    <t>PRIMARY OFFERING (VALUE R$)</t>
  </si>
  <si>
    <t>SECONDARY OFFERING (VALUE R$)</t>
  </si>
  <si>
    <t>TOTAL
(VALUE R$)</t>
  </si>
  <si>
    <t>TOTAL
(VALUE USD)</t>
  </si>
  <si>
    <t>RETAIL</t>
  </si>
  <si>
    <t>INSTITUTIONAL</t>
  </si>
  <si>
    <t>FOREIGNERS</t>
  </si>
  <si>
    <t>OTHERS</t>
  </si>
  <si>
    <t>YEAR</t>
  </si>
  <si>
    <t>Road Concessions</t>
  </si>
  <si>
    <t>Personal Hygiene</t>
  </si>
  <si>
    <t>Civil Aviation</t>
  </si>
  <si>
    <t>Railways</t>
  </si>
  <si>
    <t>Engines, Compressors and Others</t>
  </si>
  <si>
    <t>Petrochemicals</t>
  </si>
  <si>
    <t>Eletric Utilities</t>
  </si>
  <si>
    <t>Footwear</t>
  </si>
  <si>
    <t>Water Utilities</t>
  </si>
  <si>
    <t>Medical Products</t>
  </si>
  <si>
    <t>Insurance</t>
  </si>
  <si>
    <t>Steel Industry</t>
  </si>
  <si>
    <t>Diverse Holdings</t>
  </si>
  <si>
    <t>Banks</t>
  </si>
  <si>
    <t>Food</t>
  </si>
  <si>
    <t>Diversified Products</t>
  </si>
  <si>
    <t>Diversified Holdings</t>
  </si>
  <si>
    <t>Rental Cars</t>
  </si>
  <si>
    <t>Textiles, Apparel and Footwear</t>
  </si>
  <si>
    <t>Residential Builing Construction</t>
  </si>
  <si>
    <t xml:space="preserve"> Services and Programs</t>
  </si>
  <si>
    <t>Road Equipment</t>
  </si>
  <si>
    <t>Pay-TV</t>
  </si>
  <si>
    <t xml:space="preserve">Residential Construction </t>
  </si>
  <si>
    <t>Services and Programs</t>
  </si>
  <si>
    <t>Papers, Books and Magazines</t>
  </si>
  <si>
    <t>Wood</t>
  </si>
  <si>
    <t>Diversified Services</t>
  </si>
  <si>
    <t>Real Estate</t>
  </si>
  <si>
    <t>Metallic Minerals</t>
  </si>
  <si>
    <t>Warehousing Support Services</t>
  </si>
  <si>
    <t>Pharamceutical</t>
  </si>
  <si>
    <t>Meat, Poultry and Others</t>
  </si>
  <si>
    <t>Exploration and/or Refining</t>
  </si>
  <si>
    <t>Computers and Equipment</t>
  </si>
  <si>
    <t>Aviation Equipment</t>
  </si>
  <si>
    <t>Pulp and Paper</t>
  </si>
  <si>
    <t>Sugar - Ethanol</t>
  </si>
  <si>
    <t>Fixed Line Communications</t>
  </si>
  <si>
    <t>Education Services</t>
  </si>
  <si>
    <t>Fertilizers</t>
  </si>
  <si>
    <t>Eletric Equipment</t>
  </si>
  <si>
    <t>Machinery and Equipment</t>
  </si>
  <si>
    <t>Hardware and Equipments</t>
  </si>
  <si>
    <t>Pharmaceutical and Other Products</t>
  </si>
  <si>
    <t>Warehouseing and storage</t>
  </si>
  <si>
    <t>Asset Management and Investments</t>
  </si>
  <si>
    <t>Agriculture</t>
  </si>
  <si>
    <t>Marine and Water Transport</t>
  </si>
  <si>
    <t>Trucking</t>
  </si>
  <si>
    <t>Diversified Financial Services</t>
  </si>
  <si>
    <t xml:space="preserve">Apparel </t>
  </si>
  <si>
    <t>Toll Roads and Highways</t>
  </si>
  <si>
    <t>Fabric, Thread and Fibers</t>
  </si>
  <si>
    <t>Other Materials</t>
  </si>
  <si>
    <t>Apparel, Fabric and Footwear</t>
  </si>
  <si>
    <t>Food Retailers</t>
  </si>
  <si>
    <t>Dairy Products</t>
  </si>
  <si>
    <t>Loyalty Programs</t>
  </si>
  <si>
    <t xml:space="preserve">Exploration and/or Refining </t>
  </si>
  <si>
    <t>Residential Building Construction</t>
  </si>
  <si>
    <t>Transportation Equipment</t>
  </si>
  <si>
    <t>Property Agency</t>
  </si>
  <si>
    <t>Exploration And Refining</t>
  </si>
  <si>
    <t>Restaurants And Similars</t>
  </si>
  <si>
    <t>Entertainment</t>
  </si>
  <si>
    <t>Electronics And Household Appliance</t>
  </si>
  <si>
    <t>Accessories</t>
  </si>
  <si>
    <t>Books. Magazines And Newspapers</t>
  </si>
  <si>
    <t>Mobile</t>
  </si>
  <si>
    <t>Furniture</t>
  </si>
  <si>
    <t>Hospitality</t>
  </si>
  <si>
    <t>Electric Utilities</t>
  </si>
  <si>
    <t>Travel And Tourism</t>
  </si>
  <si>
    <t>Pharmaceutical And Others Products</t>
  </si>
  <si>
    <t>Railroad Transportation</t>
  </si>
  <si>
    <t>Road Material</t>
  </si>
  <si>
    <t>Med Hosp Serv. Anal And Diagnostics</t>
  </si>
  <si>
    <t>Consumer Cyclical</t>
  </si>
  <si>
    <t>Airlines</t>
  </si>
  <si>
    <t>Holdings - Diversified</t>
  </si>
  <si>
    <t>Copper Products</t>
  </si>
  <si>
    <t>Other Food Manufacturing</t>
  </si>
  <si>
    <t>Railroads</t>
  </si>
  <si>
    <t>Apparel. Fabric And Footwear</t>
  </si>
  <si>
    <t>Exploration. Refining And Distribution</t>
  </si>
  <si>
    <t>Diversified Retailers</t>
  </si>
  <si>
    <t>Software And Services</t>
  </si>
  <si>
    <t>Car Rental</t>
  </si>
  <si>
    <t>Marine And Water Transport</t>
  </si>
  <si>
    <t>Meat. Poultry And Others</t>
  </si>
  <si>
    <t>Hardware And Equipments</t>
  </si>
  <si>
    <t>Electronics and Household Appliance</t>
  </si>
  <si>
    <t>Metalic Minerals</t>
  </si>
  <si>
    <t>Pulp And Paper</t>
  </si>
  <si>
    <t>Services and Equipaments</t>
  </si>
  <si>
    <t>Marketing</t>
  </si>
  <si>
    <t>Resource and Investment Management</t>
  </si>
  <si>
    <t>Sport Activities</t>
  </si>
  <si>
    <t>Telecommunications</t>
  </si>
  <si>
    <t>Financial</t>
  </si>
  <si>
    <t>Meat. Poultry and Others</t>
  </si>
  <si>
    <t>Apparel. Fabric and Footwear</t>
  </si>
  <si>
    <t>Reinsurance</t>
  </si>
  <si>
    <t>Car rental</t>
  </si>
  <si>
    <t>RCVM 160 -  Automatic Registration</t>
  </si>
  <si>
    <t>Med Hosp Serv. Anal and Diagnostics</t>
  </si>
  <si>
    <t>Sports</t>
  </si>
  <si>
    <t>Travel and Tourism</t>
  </si>
  <si>
    <t xml:space="preserve">Car Rental </t>
  </si>
  <si>
    <t>Health and Retail and Distribution</t>
  </si>
  <si>
    <t>Financial Intermediaries</t>
  </si>
  <si>
    <t>Textiles. Apparel and Footwear</t>
  </si>
  <si>
    <t xml:space="preserve">Capital Goods and Services </t>
  </si>
  <si>
    <t>¹ Data refering only to ("Brazilian Offering").</t>
  </si>
  <si>
    <t>² Preliminary Data.</t>
  </si>
  <si>
    <t>³ Participation on volue before "Recompra no Âmbito das Atividades de Estabilização".</t>
  </si>
  <si>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 xml:space="preserve"> Weighted price in case of a preferred and common shares offering.</t>
    </r>
  </si>
  <si>
    <t>N/A - Not Available.</t>
  </si>
  <si>
    <t>CCR RODOVIAS</t>
  </si>
  <si>
    <t>NM</t>
  </si>
  <si>
    <t>UBS</t>
  </si>
  <si>
    <t>ICVM 400</t>
  </si>
  <si>
    <t>NATURA</t>
  </si>
  <si>
    <t>GOL</t>
  </si>
  <si>
    <t>N2</t>
  </si>
  <si>
    <t>Morgan Stanley</t>
  </si>
  <si>
    <t>ALL AMER LAT</t>
  </si>
  <si>
    <t>Pactual</t>
  </si>
  <si>
    <t>WEG</t>
  </si>
  <si>
    <t>N1</t>
  </si>
  <si>
    <t>Bradesco BBI</t>
  </si>
  <si>
    <t>BRASKEM</t>
  </si>
  <si>
    <t>Unibanco</t>
  </si>
  <si>
    <t>CPFL ENERGIA</t>
  </si>
  <si>
    <t>Merrill Lynch</t>
  </si>
  <si>
    <t>GRENDENE</t>
  </si>
  <si>
    <t>SABESP</t>
  </si>
  <si>
    <t>DASA</t>
  </si>
  <si>
    <t>PORTO SEGURO</t>
  </si>
  <si>
    <t>GERDAU</t>
  </si>
  <si>
    <t>GERDAU MET</t>
  </si>
  <si>
    <t>BRADESPAR</t>
  </si>
  <si>
    <t>Credit Suisse</t>
  </si>
  <si>
    <t>SUZANO PETR</t>
  </si>
  <si>
    <t>Itaú BBA</t>
  </si>
  <si>
    <t>UNIBANCO</t>
  </si>
  <si>
    <t>RENAR</t>
  </si>
  <si>
    <t>Elite</t>
  </si>
  <si>
    <t>SUBMARINO</t>
  </si>
  <si>
    <t>ULTRAPAR</t>
  </si>
  <si>
    <t>BÁSICO</t>
  </si>
  <si>
    <t>Santander</t>
  </si>
  <si>
    <t>LOCALIZA</t>
  </si>
  <si>
    <t>TAM S/A</t>
  </si>
  <si>
    <t>AES TIETE</t>
  </si>
  <si>
    <t>LOJAS RENNER</t>
  </si>
  <si>
    <t>ENERGIAS BR</t>
  </si>
  <si>
    <t>OHL BRASIL</t>
  </si>
  <si>
    <t>CYRELA REALT</t>
  </si>
  <si>
    <t>NOSSA CAIXA</t>
  </si>
  <si>
    <t>COSAN</t>
  </si>
  <si>
    <t>TRACTEBEL</t>
  </si>
  <si>
    <t>UOL</t>
  </si>
  <si>
    <t>IOCHP-MAXION</t>
  </si>
  <si>
    <t>COPASA</t>
  </si>
  <si>
    <t>VIVAX</t>
  </si>
  <si>
    <t>ROSSI RESID</t>
  </si>
  <si>
    <t>GAFISA</t>
  </si>
  <si>
    <t>COMPANY</t>
  </si>
  <si>
    <t>ABN Amro</t>
  </si>
  <si>
    <t>TOTVS</t>
  </si>
  <si>
    <t>EQUATORIAL</t>
  </si>
  <si>
    <t>SARAIVA LIVR</t>
  </si>
  <si>
    <t>DURATEX</t>
  </si>
  <si>
    <t>ABNOTE</t>
  </si>
  <si>
    <t>RANDON PART</t>
  </si>
  <si>
    <t>CSU CARDSYST</t>
  </si>
  <si>
    <t>BRASILAGRO</t>
  </si>
  <si>
    <t>LUPATECH</t>
  </si>
  <si>
    <t>GP INVEST ¹</t>
  </si>
  <si>
    <t>BDR</t>
  </si>
  <si>
    <t>DATASUL</t>
  </si>
  <si>
    <t>BRASIL</t>
  </si>
  <si>
    <t>BB Investimentos</t>
  </si>
  <si>
    <t>MMX MINER</t>
  </si>
  <si>
    <t>ABYARA</t>
  </si>
  <si>
    <t>CESP</t>
  </si>
  <si>
    <t>MEDIAL SAUDE</t>
  </si>
  <si>
    <t>ELETROPAULO</t>
  </si>
  <si>
    <t>KLABINSEGALL</t>
  </si>
  <si>
    <t>Deutsche Bank</t>
  </si>
  <si>
    <t>SANTOS BRAS</t>
  </si>
  <si>
    <t>M.DIASBRANCO</t>
  </si>
  <si>
    <t>BRASCAN RES</t>
  </si>
  <si>
    <t>PROFARMA</t>
  </si>
  <si>
    <t>PERDIGAO S/A</t>
  </si>
  <si>
    <t>TERNA PART</t>
  </si>
  <si>
    <t>ECODIESEL</t>
  </si>
  <si>
    <t>Banco Fator</t>
  </si>
  <si>
    <t>ODONTOPREV</t>
  </si>
  <si>
    <t>POSITIVO INF</t>
  </si>
  <si>
    <t>SAO CARLOS</t>
  </si>
  <si>
    <t>LOPES BRASIL</t>
  </si>
  <si>
    <t>DUFRYBRAS</t>
  </si>
  <si>
    <t>PDG REALT</t>
  </si>
  <si>
    <t>RODOBENSIMOB</t>
  </si>
  <si>
    <t>JP Morgan</t>
  </si>
  <si>
    <t>CC DES IMOB</t>
  </si>
  <si>
    <t>TECNISA</t>
  </si>
  <si>
    <t>IGUATEMI</t>
  </si>
  <si>
    <t>EMBRAER</t>
  </si>
  <si>
    <t>SUZANO PAPEL</t>
  </si>
  <si>
    <t>SAO MARTINHO</t>
  </si>
  <si>
    <t>GVT HOLDING</t>
  </si>
  <si>
    <t>ANHANGUERA</t>
  </si>
  <si>
    <t>JBS</t>
  </si>
  <si>
    <t>PINE</t>
  </si>
  <si>
    <t>EVEN</t>
  </si>
  <si>
    <t>BR MALLS PAR</t>
  </si>
  <si>
    <t>FER HERINGER</t>
  </si>
  <si>
    <t>JHSF PART</t>
  </si>
  <si>
    <t>METALFRIO</t>
  </si>
  <si>
    <t>INDS ROMI</t>
  </si>
  <si>
    <t>BEMATECH</t>
  </si>
  <si>
    <t>CR2</t>
  </si>
  <si>
    <t>AGRA INCORP</t>
  </si>
  <si>
    <t>USIMINAS</t>
  </si>
  <si>
    <t>CREMER</t>
  </si>
  <si>
    <t>WILSON SONS</t>
  </si>
  <si>
    <t>SOFISA</t>
  </si>
  <si>
    <t>TARPON</t>
  </si>
  <si>
    <t>INPAR S/A</t>
  </si>
  <si>
    <t>PARANA</t>
  </si>
  <si>
    <t>SLC AGRICOLA</t>
  </si>
  <si>
    <t>LOG-IN</t>
  </si>
  <si>
    <t>EZTEC</t>
  </si>
  <si>
    <t>CRUZEIRO SUL</t>
  </si>
  <si>
    <t>DAYCOVAL</t>
  </si>
  <si>
    <t>MARFRIG</t>
  </si>
  <si>
    <t>TEGMA</t>
  </si>
  <si>
    <t>DROGASIL</t>
  </si>
  <si>
    <t>INDUSVAL</t>
  </si>
  <si>
    <t>REDECARD</t>
  </si>
  <si>
    <t>INVEST TUR</t>
  </si>
  <si>
    <t>MINERVA</t>
  </si>
  <si>
    <t>PATAGONIA ¹</t>
  </si>
  <si>
    <t>CIA HERING</t>
  </si>
  <si>
    <t>MRV</t>
  </si>
  <si>
    <t>KROTON</t>
  </si>
  <si>
    <t>GUARANI</t>
  </si>
  <si>
    <t>TRIUNFO PART</t>
  </si>
  <si>
    <t>ABC BRASIL</t>
  </si>
  <si>
    <t>SPRINGS</t>
  </si>
  <si>
    <t>PROVIDENCIA</t>
  </si>
  <si>
    <t>MULTIPLAN</t>
  </si>
  <si>
    <t>GENERALSHOPP</t>
  </si>
  <si>
    <t>ESTACIO PART</t>
  </si>
  <si>
    <t>BANRISUL</t>
  </si>
  <si>
    <t>COSAN LTD ¹</t>
  </si>
  <si>
    <t>SATIPEL</t>
  </si>
  <si>
    <t>SUL AMERICA</t>
  </si>
  <si>
    <t>BICBANCO</t>
  </si>
  <si>
    <t>TRISUL</t>
  </si>
  <si>
    <t>TENDA</t>
  </si>
  <si>
    <t>SEB</t>
  </si>
  <si>
    <t>MARISA</t>
  </si>
  <si>
    <t>AGRENCO</t>
  </si>
  <si>
    <t>BOVESPA HLD</t>
  </si>
  <si>
    <t>BR BROKERS</t>
  </si>
  <si>
    <t>AMIL</t>
  </si>
  <si>
    <t>HELBOR</t>
  </si>
  <si>
    <t>LAEP</t>
  </si>
  <si>
    <t>PANAMERICANO</t>
  </si>
  <si>
    <t>BMF</t>
  </si>
  <si>
    <t>MPX ENERGIA</t>
  </si>
  <si>
    <t>TEMPO PART</t>
  </si>
  <si>
    <t>NUTRIPLANT</t>
  </si>
  <si>
    <t>MA</t>
  </si>
  <si>
    <t>HSBC</t>
  </si>
  <si>
    <t>Citi</t>
  </si>
  <si>
    <t>HYPERMARCAS</t>
  </si>
  <si>
    <t>LE LIS BLANC</t>
  </si>
  <si>
    <t>OGX PETROLEO</t>
  </si>
  <si>
    <t>VALE R DOCE</t>
  </si>
  <si>
    <t>VISANET</t>
  </si>
  <si>
    <t>LIGHT S/A</t>
  </si>
  <si>
    <t>BRF FOODS</t>
  </si>
  <si>
    <t>TIVIT</t>
  </si>
  <si>
    <t>BTG Pactual</t>
  </si>
  <si>
    <t>SANTANDER BR ¹</t>
  </si>
  <si>
    <t>GOL ¹</t>
  </si>
  <si>
    <t>BROOKFIELD</t>
  </si>
  <si>
    <t>CETIP</t>
  </si>
  <si>
    <t>DIRECIONAL</t>
  </si>
  <si>
    <t>FLEURY</t>
  </si>
  <si>
    <t>ALIANSCE</t>
  </si>
  <si>
    <t>MULTIPLUS</t>
  </si>
  <si>
    <t>BR PROPERT</t>
  </si>
  <si>
    <t xml:space="preserve">OSX BRASIL </t>
  </si>
  <si>
    <t>GAFISA ¹</t>
  </si>
  <si>
    <t>ECORODOVIAS</t>
  </si>
  <si>
    <t>MILLS</t>
  </si>
  <si>
    <t>JULIO SIMOES</t>
  </si>
  <si>
    <t>RENOVA</t>
  </si>
  <si>
    <t>PETROBRAS</t>
  </si>
  <si>
    <t>HRT PETROLEO</t>
  </si>
  <si>
    <t>BR INSURANCE</t>
  </si>
  <si>
    <t>RAIA</t>
  </si>
  <si>
    <t xml:space="preserve">AREZZO CO </t>
  </si>
  <si>
    <t xml:space="preserve">SIERRABRASIL </t>
  </si>
  <si>
    <t xml:space="preserve">TECNISA </t>
  </si>
  <si>
    <t xml:space="preserve">AUTOMETAL </t>
  </si>
  <si>
    <t xml:space="preserve">BR BROKERS </t>
  </si>
  <si>
    <t xml:space="preserve">QGEP PART </t>
  </si>
  <si>
    <t>MAGNESITA SA</t>
  </si>
  <si>
    <t>IMC HOLDINGS</t>
  </si>
  <si>
    <t>TIME FOR FUN</t>
  </si>
  <si>
    <t>MAGAZ LUIZA</t>
  </si>
  <si>
    <t xml:space="preserve">BR MALLS PAR </t>
  </si>
  <si>
    <t>BR PHARMA</t>
  </si>
  <si>
    <t>QUALICORP</t>
  </si>
  <si>
    <t>BofA Merrill Lynch</t>
  </si>
  <si>
    <t xml:space="preserve">BR PROPERT </t>
  </si>
  <si>
    <t>TECHNOS</t>
  </si>
  <si>
    <t>METAL LEVE</t>
  </si>
  <si>
    <t>ABRIL EDUCA</t>
  </si>
  <si>
    <t>TIM PART S/A</t>
  </si>
  <si>
    <t>-</t>
  </si>
  <si>
    <t>LOCAMERICA</t>
  </si>
  <si>
    <t>FIBRIA</t>
  </si>
  <si>
    <t>BTG PACTUAL</t>
  </si>
  <si>
    <t>UNICASA</t>
  </si>
  <si>
    <t>TAESA</t>
  </si>
  <si>
    <t>LINX</t>
  </si>
  <si>
    <t>SENIOR SOL</t>
  </si>
  <si>
    <t>Banco Votorantim</t>
  </si>
  <si>
    <t>BIOSEV</t>
  </si>
  <si>
    <t>BHG</t>
  </si>
  <si>
    <t>ALUPAR</t>
  </si>
  <si>
    <t>BB SEGURIDADE</t>
  </si>
  <si>
    <t>SMILES</t>
  </si>
  <si>
    <t>CPFL RENOVAV</t>
  </si>
  <si>
    <t>TUPY</t>
  </si>
  <si>
    <t>ANIMA</t>
  </si>
  <si>
    <t>SER EDUCA</t>
  </si>
  <si>
    <t>CVC BRASIL</t>
  </si>
  <si>
    <t>VIAVAREJO</t>
  </si>
  <si>
    <t>OI¹</t>
  </si>
  <si>
    <t>OUROFINO S/A</t>
  </si>
  <si>
    <t>TELEF BRASIL¹</t>
  </si>
  <si>
    <t>PARCORRETORA</t>
  </si>
  <si>
    <t>VALID</t>
  </si>
  <si>
    <t>ICVM 476</t>
  </si>
  <si>
    <t>MERC INVEST</t>
  </si>
  <si>
    <t>RUMO LOG</t>
  </si>
  <si>
    <t>FRAS-LE</t>
  </si>
  <si>
    <t>ENERGISA</t>
  </si>
  <si>
    <t>ALLIAR</t>
  </si>
  <si>
    <t>SANEPAR</t>
  </si>
  <si>
    <t>MOVIDA</t>
  </si>
  <si>
    <t>IHPARDINI</t>
  </si>
  <si>
    <t xml:space="preserve">CCR SA </t>
  </si>
  <si>
    <t>LOJAS AMERIC</t>
  </si>
  <si>
    <t>AZUL¹</t>
  </si>
  <si>
    <t>CARREFOUR BR</t>
  </si>
  <si>
    <t>BIOTOSCANA</t>
  </si>
  <si>
    <t>IRBBRASIL RE</t>
  </si>
  <si>
    <t>OMEGA GER</t>
  </si>
  <si>
    <t>BAHEMA</t>
  </si>
  <si>
    <t>Coinvalores CCVM Ltda.</t>
  </si>
  <si>
    <t>PARANAPANEMA</t>
  </si>
  <si>
    <t>Modal</t>
  </si>
  <si>
    <t>AZUL ¹</t>
  </si>
  <si>
    <t>CAMIL</t>
  </si>
  <si>
    <t>ENEVA</t>
  </si>
  <si>
    <t>VULCABRAS</t>
  </si>
  <si>
    <t>RUMO S.A.</t>
  </si>
  <si>
    <t>IMC S/A</t>
  </si>
  <si>
    <t>BK BRASIL</t>
  </si>
  <si>
    <t>PETROBRAS BR</t>
  </si>
  <si>
    <t>INTERMEDICA</t>
  </si>
  <si>
    <t>HAPVIDA</t>
  </si>
  <si>
    <t>INTER BANCO</t>
  </si>
  <si>
    <t>Caixa</t>
  </si>
  <si>
    <t>CENTAURO</t>
  </si>
  <si>
    <t>BTGP BANCO</t>
  </si>
  <si>
    <t>LINX¹</t>
  </si>
  <si>
    <t>Goldman Sachs</t>
  </si>
  <si>
    <t>PETROBRAS¹</t>
  </si>
  <si>
    <t>NEOENERGIA</t>
  </si>
  <si>
    <t>BANCO INTER</t>
  </si>
  <si>
    <t>BANCO PAN</t>
  </si>
  <si>
    <t>SINQIA</t>
  </si>
  <si>
    <t>VIVARA S.A.</t>
  </si>
  <si>
    <t>LOG COM PROP</t>
  </si>
  <si>
    <t>CYRE COM-CCP</t>
  </si>
  <si>
    <t>BANCO BMG</t>
  </si>
  <si>
    <t>XP Investimentos</t>
  </si>
  <si>
    <t>CEA MODAS</t>
  </si>
  <si>
    <t>LOJAS MARISA</t>
  </si>
  <si>
    <t>ALIANSCSONAE</t>
  </si>
  <si>
    <t>Bank of America</t>
  </si>
  <si>
    <t>POSITIVO TEC</t>
  </si>
  <si>
    <t>MITRE REALTY</t>
  </si>
  <si>
    <t>LOCAWEB</t>
  </si>
  <si>
    <t>COGNA ON</t>
  </si>
  <si>
    <t>MOURA DUBEUX</t>
  </si>
  <si>
    <t>PRINER</t>
  </si>
  <si>
    <t>ESTAPAR</t>
  </si>
  <si>
    <t>AURA 360</t>
  </si>
  <si>
    <t xml:space="preserve">LOJAS AMERIC 4 </t>
  </si>
  <si>
    <t>AMBIPAR</t>
  </si>
  <si>
    <t>IRANI</t>
  </si>
  <si>
    <t>DIMED</t>
  </si>
  <si>
    <t>GRUPO SOMA</t>
  </si>
  <si>
    <t>D1000VFARMA</t>
  </si>
  <si>
    <t>QUERO-QUERO</t>
  </si>
  <si>
    <t>LAVVI</t>
  </si>
  <si>
    <t>PAGUE MENOS</t>
  </si>
  <si>
    <t>PETZ</t>
  </si>
  <si>
    <t>PLANOEPLANO</t>
  </si>
  <si>
    <t>JSL</t>
  </si>
  <si>
    <t>SANTOS BRP</t>
  </si>
  <si>
    <t>MELNICK</t>
  </si>
  <si>
    <t>HIDROVIAS</t>
  </si>
  <si>
    <t>CURY S/A</t>
  </si>
  <si>
    <t>BOA VISTA</t>
  </si>
  <si>
    <t>J.P. Morgan</t>
  </si>
  <si>
    <t>SUZANO</t>
  </si>
  <si>
    <t>SEQUOIA LOG</t>
  </si>
  <si>
    <t>GRUPO MATEUS</t>
  </si>
  <si>
    <t>GRUPO NATURA</t>
  </si>
  <si>
    <t>TRACK FIELD</t>
  </si>
  <si>
    <t>MELIUZ</t>
  </si>
  <si>
    <t>ENJOEI</t>
  </si>
  <si>
    <t>AERIS</t>
  </si>
  <si>
    <t>3R PETROLEUM</t>
  </si>
  <si>
    <t>Itaú  BBA</t>
  </si>
  <si>
    <t>ALPHAVILLE</t>
  </si>
  <si>
    <t>Bradesco BB</t>
  </si>
  <si>
    <t>REDE D OR</t>
  </si>
  <si>
    <t>NEOGRID</t>
  </si>
  <si>
    <t>HBRREALTY</t>
  </si>
  <si>
    <t>VAMOS</t>
  </si>
  <si>
    <t>PETRORIO</t>
  </si>
  <si>
    <t>ESPACOLASER</t>
  </si>
  <si>
    <t>INTELBRAS</t>
  </si>
  <si>
    <t>MOSAICO</t>
  </si>
  <si>
    <t>MOBLY</t>
  </si>
  <si>
    <t>JALLESMACHADO</t>
  </si>
  <si>
    <t>FOCUS ON</t>
  </si>
  <si>
    <t>OCEANPACT</t>
  </si>
  <si>
    <t>ORIZON</t>
  </si>
  <si>
    <t>ELETROMIDIA</t>
  </si>
  <si>
    <t>BEMOBI TECH</t>
  </si>
  <si>
    <t>CSNMINERACAO</t>
  </si>
  <si>
    <t>WESTWING</t>
  </si>
  <si>
    <t>ALLIED</t>
  </si>
  <si>
    <t>MATER DEI</t>
  </si>
  <si>
    <t>BLAU</t>
  </si>
  <si>
    <t>GPS</t>
  </si>
  <si>
    <t>BOA SAFRA</t>
  </si>
  <si>
    <t>CAIXA SEGURI²</t>
  </si>
  <si>
    <t>MODALMAIS</t>
  </si>
  <si>
    <t>BTG  Pactual</t>
  </si>
  <si>
    <t>INFRACOMM</t>
  </si>
  <si>
    <t>PETRORECSA</t>
  </si>
  <si>
    <t>GETNINJAS</t>
  </si>
  <si>
    <t>G2D INVEST</t>
  </si>
  <si>
    <t>DOTZ</t>
  </si>
  <si>
    <t>BTG Pactual, Bradesco BBI</t>
  </si>
  <si>
    <t>BR PARTNERS</t>
  </si>
  <si>
    <t>3TENTOS</t>
  </si>
  <si>
    <t>WDC NETWORKS</t>
  </si>
  <si>
    <t>SMART FIT</t>
  </si>
  <si>
    <t>MULTILASER</t>
  </si>
  <si>
    <t>Itáu BBA</t>
  </si>
  <si>
    <t>DESKTOP</t>
  </si>
  <si>
    <t>CBA</t>
  </si>
  <si>
    <t>AGROGALAXY</t>
  </si>
  <si>
    <t>UNIFIQUE</t>
  </si>
  <si>
    <t>ARMAC</t>
  </si>
  <si>
    <t>TC</t>
  </si>
  <si>
    <t>BRISANET</t>
  </si>
  <si>
    <t>CLEARSALE</t>
  </si>
  <si>
    <t>VIVEO</t>
  </si>
  <si>
    <t>RAIZEN</t>
  </si>
  <si>
    <t>ONCOCLINICAS</t>
  </si>
  <si>
    <t>KORA SAUDE</t>
  </si>
  <si>
    <t>VITTIA</t>
  </si>
  <si>
    <t>AES BRASIL</t>
  </si>
  <si>
    <t>NU-NUBANK</t>
  </si>
  <si>
    <t>BDR Patrocinado Nível 3</t>
  </si>
  <si>
    <t>NuInvest Corretora de Valores S.A.</t>
  </si>
  <si>
    <t>ALPAGARTAS</t>
  </si>
  <si>
    <t>AREZZO CO</t>
  </si>
  <si>
    <t>Bank of America, BTG Pactual</t>
  </si>
  <si>
    <t>ELETROBRAS</t>
  </si>
  <si>
    <t>IGUATEMI S.A.</t>
  </si>
  <si>
    <t>ASSAI</t>
  </si>
  <si>
    <t>BRF</t>
  </si>
  <si>
    <t xml:space="preserve">VIVEO </t>
  </si>
  <si>
    <t>Banco Itaú BBA S.A</t>
  </si>
  <si>
    <t>COPEL</t>
  </si>
  <si>
    <t>Banco BTG Pactual S.A.</t>
  </si>
  <si>
    <t>Banco Bradesco BBI S.A</t>
  </si>
  <si>
    <t>CASAS BAHIA</t>
  </si>
  <si>
    <t>UBS Brasil Corretora de Câmbio, Títulos e Valores Mobiliários S.A.</t>
  </si>
  <si>
    <t>BTG Pactual Investment Banking Ltda.</t>
  </si>
  <si>
    <t>Banco Itaú BBA S.A.</t>
  </si>
  <si>
    <t>BTG Pactual Investment Banking Ltda</t>
  </si>
  <si>
    <t xml:space="preserve">Banco Itaú BBA S.A. </t>
  </si>
  <si>
    <t xml:space="preserve">NM </t>
  </si>
  <si>
    <t>P.ACUCAR-CBD</t>
  </si>
  <si>
    <t>SERENA</t>
  </si>
  <si>
    <t>BTG Pactual Investment Banking LTDA</t>
  </si>
  <si>
    <t>TRAN PAULIST</t>
  </si>
  <si>
    <t>Citigroup Global Markets Brasil, Corretora de Câmbio, Títulos e Valores Mobiliários S.A.</t>
  </si>
  <si>
    <t>Exploração de Rodovias</t>
  </si>
  <si>
    <t>Prod. de Uso Pessoal</t>
  </si>
  <si>
    <t>Transporte Aéreo</t>
  </si>
  <si>
    <t>Transporte Ferroviário</t>
  </si>
  <si>
    <t>Motores, Compressores e Outros</t>
  </si>
  <si>
    <t>Petroquímicos</t>
  </si>
  <si>
    <t>Energia Elétrica</t>
  </si>
  <si>
    <t>Calçados</t>
  </si>
  <si>
    <t>Água e Saneamento</t>
  </si>
  <si>
    <t>Serv. Méd. Hospit., Análises e Diagnósticos</t>
  </si>
  <si>
    <t>Seguradoras</t>
  </si>
  <si>
    <t>Siderurgia</t>
  </si>
  <si>
    <t>Holdings Diversificadas</t>
  </si>
  <si>
    <t>Bancos</t>
  </si>
  <si>
    <t>Alimentos Diversos</t>
  </si>
  <si>
    <t>Produtos Diversos</t>
  </si>
  <si>
    <t>Aluguel de Carros</t>
  </si>
  <si>
    <t>Tecidos, Vestuário e Calçados</t>
  </si>
  <si>
    <t>Construção Civil</t>
  </si>
  <si>
    <t>Programas e Serviços</t>
  </si>
  <si>
    <t>Material Rodoviário</t>
  </si>
  <si>
    <t>Televisão Por Assinatura</t>
  </si>
  <si>
    <t>Jornais, Livros e Revistas</t>
  </si>
  <si>
    <t>Madeira</t>
  </si>
  <si>
    <t>Serviços Diversos</t>
  </si>
  <si>
    <t>Exploração de Imóveis</t>
  </si>
  <si>
    <t>Minerais Metálicos</t>
  </si>
  <si>
    <t>Serviços de Apoio e Armazenagem</t>
  </si>
  <si>
    <t>Carnes e Derivados</t>
  </si>
  <si>
    <t>Medicamentos</t>
  </si>
  <si>
    <t>Exploração e/ou Refino</t>
  </si>
  <si>
    <t>Computadores e Equipamentos</t>
  </si>
  <si>
    <t>Intermediação Imobiliária</t>
  </si>
  <si>
    <t>Material Aeronáutico</t>
  </si>
  <si>
    <t>Papel e Celulose</t>
  </si>
  <si>
    <t>Telefonia Fixa</t>
  </si>
  <si>
    <t>Serviços Educacionais</t>
  </si>
  <si>
    <t>Fertilizantes e Defensivos</t>
  </si>
  <si>
    <t>Equipamentos Elétricos</t>
  </si>
  <si>
    <t>Máquinas e Equipamentos Industriais</t>
  </si>
  <si>
    <t>Medicamentos e Outros Produtos</t>
  </si>
  <si>
    <t>Transporte Hidroviário</t>
  </si>
  <si>
    <t>Transporte Rodoviário</t>
  </si>
  <si>
    <t>Serviços Financeiros Diversos</t>
  </si>
  <si>
    <t>Vestuário</t>
  </si>
  <si>
    <t>Fios e Tecidos</t>
  </si>
  <si>
    <t>Materiais Diversos</t>
  </si>
  <si>
    <t>Alimentos</t>
  </si>
  <si>
    <t>Laticínios</t>
  </si>
  <si>
    <t>Agricultura</t>
  </si>
  <si>
    <t>Produtos de Uso Pessoal</t>
  </si>
  <si>
    <t xml:space="preserve">Exploração de Imóveis </t>
  </si>
  <si>
    <t xml:space="preserve">Construção Civil </t>
  </si>
  <si>
    <t xml:space="preserve">Programas de Fidelização </t>
  </si>
  <si>
    <t>Máquinas e Equipamentos</t>
  </si>
  <si>
    <t xml:space="preserve">Exploração e/ou Refino </t>
  </si>
  <si>
    <t>Corretoras de Seguros</t>
  </si>
  <si>
    <t xml:space="preserve">Intermediação Imobiliária </t>
  </si>
  <si>
    <t xml:space="preserve">Materiais Diversos </t>
  </si>
  <si>
    <t xml:space="preserve">Restaurante e Similares </t>
  </si>
  <si>
    <t>Produção de Eventos e Shows</t>
  </si>
  <si>
    <t>Eletrodomésticos</t>
  </si>
  <si>
    <t>Acessórios</t>
  </si>
  <si>
    <t xml:space="preserve">Jornais, Livros e Revistas </t>
  </si>
  <si>
    <t xml:space="preserve">Telefonia móvel </t>
  </si>
  <si>
    <t>Aluguel de carros</t>
  </si>
  <si>
    <t xml:space="preserve">Móveis </t>
  </si>
  <si>
    <t>Medicamento</t>
  </si>
  <si>
    <t>Açúcar e Álcool</t>
  </si>
  <si>
    <t>Hotelaria</t>
  </si>
  <si>
    <t>Viagens e Turismo</t>
  </si>
  <si>
    <t xml:space="preserve">Serviços Diversos </t>
  </si>
  <si>
    <t>Artefatos de Cobre</t>
  </si>
  <si>
    <t>Restaurante e Similares</t>
  </si>
  <si>
    <t>Tecidos. Vestuário e Calçados</t>
  </si>
  <si>
    <t>Exploração. Refino e Distribuição</t>
  </si>
  <si>
    <t>Serv.Méd.Hospit..Análises e Diagnósticos</t>
  </si>
  <si>
    <t>Incorporações</t>
  </si>
  <si>
    <t>Máq. e Equip. Industriais</t>
  </si>
  <si>
    <t xml:space="preserve"> Programas e Serviços</t>
  </si>
  <si>
    <t>Açucar e Alcool</t>
  </si>
  <si>
    <t>Equipamentos e Serviços</t>
  </si>
  <si>
    <t>Publicidade e Propaganda</t>
  </si>
  <si>
    <t>Gestão de Recursos e Investimentos</t>
  </si>
  <si>
    <t>Programas de Fidelização</t>
  </si>
  <si>
    <t>Atividades Esportivas</t>
  </si>
  <si>
    <t>Telecomunicações</t>
  </si>
  <si>
    <t>Exploração, Refino e Distribuição</t>
  </si>
  <si>
    <t>Resseguradoras</t>
  </si>
  <si>
    <t>Tansporte Hidroviário</t>
  </si>
  <si>
    <t>Automóveis e Motocicletas</t>
  </si>
  <si>
    <t>CAIXA SEGURIDADE</t>
  </si>
  <si>
    <t xml:space="preserve">Itaú BBA Assessoria Financeira S.A. </t>
  </si>
  <si>
    <t>Passenger Airlines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</si>
</sst>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_(* #,##0_);_(* \(#,##0\);_(* &quot;-&quot;_);_(@_)"/>
    <numFmt numFmtId="166" formatCode="&quot;R$&quot;\ #,##0.00"/>
  </numFmts>
  <fonts count="9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sz val="9"/>
      <color indexed="81"/>
      <name val="Segoe UI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004685"/>
        <bgColor indexed="64"/>
      </patternFill>
    </fill>
    <fill>
      <patternFill patternType="solid">
        <fgColor rgb="FF00AE4D"/>
        <bgColor indexed="64"/>
      </patternFill>
    </fill>
    <fill>
      <patternFill patternType="solid">
        <fgColor theme="0"/>
        <bgColor indexed="64"/>
      </patternFill>
    </fill>
  </fills>
  <borders count="11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23"/>
      </bottom>
      <diagonal/>
    </border>
    <border>
      <left/>
      <right/>
      <top style="double">
        <color indexed="64"/>
      </top>
      <bottom style="thin">
        <color indexed="23"/>
      </bottom>
      <diagonal/>
    </border>
    <border>
      <left/>
      <right style="thin">
        <color indexed="23"/>
      </right>
      <top style="double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64"/>
      </top>
      <bottom style="thin">
        <color indexed="23"/>
      </bottom>
      <diagonal/>
    </border>
    <border>
      <left style="thin">
        <color indexed="23"/>
      </left>
      <right/>
      <top style="double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double">
        <color indexed="64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medium">
        <color indexed="64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double">
        <color indexed="64"/>
      </right>
      <top style="thin">
        <color indexed="23"/>
      </top>
      <bottom/>
      <diagonal/>
    </border>
    <border>
      <left style="double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indexed="64"/>
      </left>
      <right style="thin">
        <color indexed="23"/>
      </right>
      <top style="thin">
        <color indexed="23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double">
        <color indexed="64"/>
      </bottom>
      <diagonal/>
    </border>
    <border>
      <left style="thin">
        <color indexed="23"/>
      </left>
      <right/>
      <top style="thin">
        <color indexed="23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indexed="64"/>
      </bottom>
      <diagonal/>
    </border>
    <border>
      <left style="thin">
        <color theme="0" tint="-0.499984740745262"/>
      </left>
      <right style="double">
        <color indexed="64"/>
      </right>
      <top style="thin">
        <color theme="0" tint="-0.499984740745262"/>
      </top>
      <bottom style="double">
        <color indexed="64"/>
      </bottom>
      <diagonal/>
    </border>
    <border>
      <left style="double">
        <color indexed="64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indexed="64"/>
      </right>
      <top/>
      <bottom style="thin">
        <color theme="0" tint="-0.499984740745262"/>
      </bottom>
      <diagonal/>
    </border>
    <border>
      <left/>
      <right style="double">
        <color indexed="64"/>
      </right>
      <top/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double">
        <color indexed="64"/>
      </right>
      <top style="thin">
        <color theme="0" tint="-0.499984740745262"/>
      </top>
      <bottom/>
      <diagonal/>
    </border>
    <border>
      <left style="double">
        <color indexed="64"/>
      </left>
      <right style="thin">
        <color indexed="23"/>
      </right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/>
      <bottom style="double">
        <color indexed="64"/>
      </bottom>
      <diagonal/>
    </border>
    <border>
      <left style="thin">
        <color indexed="23"/>
      </left>
      <right/>
      <top/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double">
        <color indexed="64"/>
      </bottom>
      <diagonal/>
    </border>
    <border>
      <left style="thin">
        <color theme="0" tint="-0.499984740745262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23"/>
      </right>
      <top style="double">
        <color indexed="64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double">
        <color indexed="64"/>
      </top>
      <bottom style="thin">
        <color theme="0" tint="-0.499984740745262"/>
      </bottom>
      <diagonal/>
    </border>
    <border>
      <left style="thin">
        <color indexed="23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double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23"/>
      </right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double">
        <color indexed="64"/>
      </top>
      <bottom style="thin">
        <color theme="1" tint="0.499984740745262"/>
      </bottom>
      <diagonal/>
    </border>
    <border>
      <left style="thin">
        <color indexed="23"/>
      </left>
      <right style="thin">
        <color theme="0" tint="-0.499984740745262"/>
      </right>
      <top style="double">
        <color indexed="64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double">
        <color indexed="64"/>
      </top>
      <bottom style="thin">
        <color theme="0" tint="-0.34998626667073579"/>
      </bottom>
      <diagonal/>
    </border>
    <border>
      <left style="thin">
        <color theme="0" tint="-0.499984740745262"/>
      </left>
      <right style="double">
        <color indexed="64"/>
      </right>
      <top style="double">
        <color indexed="64"/>
      </top>
      <bottom style="thin">
        <color theme="0" tint="-0.34998626667073579"/>
      </bottom>
      <diagonal/>
    </border>
    <border>
      <left style="double">
        <color indexed="64"/>
      </left>
      <right style="thin">
        <color indexed="23"/>
      </right>
      <top style="thin">
        <color theme="1" tint="0.499984740745262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theme="1" tint="0.499984740745262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/>
      <diagonal/>
    </border>
    <border>
      <left style="double">
        <color indexed="64"/>
      </left>
      <right style="thin">
        <color indexed="23"/>
      </right>
      <top style="double">
        <color indexed="64"/>
      </top>
      <bottom style="thin">
        <color indexed="23"/>
      </bottom>
      <diagonal/>
    </border>
    <border>
      <left style="thin">
        <color theme="0" tint="-0.499984740745262"/>
      </left>
      <right style="double">
        <color indexed="64"/>
      </right>
      <top style="double">
        <color indexed="64"/>
      </top>
      <bottom style="thin">
        <color theme="0" tint="-0.499984740745262"/>
      </bottom>
      <diagonal/>
    </border>
    <border>
      <left style="double">
        <color indexed="64"/>
      </left>
      <right style="thin">
        <color indexed="23"/>
      </right>
      <top style="thin">
        <color theme="1" tint="0.34998626667073579"/>
      </top>
      <bottom style="double">
        <color theme="1" tint="0.34998626667073579"/>
      </bottom>
      <diagonal/>
    </border>
    <border>
      <left style="thin">
        <color indexed="23"/>
      </left>
      <right style="thin">
        <color indexed="23"/>
      </right>
      <top style="thin">
        <color theme="1" tint="0.34998626667073579"/>
      </top>
      <bottom style="double">
        <color theme="1" tint="0.34998626667073579"/>
      </bottom>
      <diagonal/>
    </border>
    <border>
      <left style="thin">
        <color indexed="23"/>
      </left>
      <right/>
      <top style="thin">
        <color theme="1" tint="0.34998626667073579"/>
      </top>
      <bottom style="double">
        <color theme="1" tint="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34998626667073579"/>
      </top>
      <bottom style="double">
        <color theme="1" tint="0.34998626667073579"/>
      </bottom>
      <diagonal/>
    </border>
    <border>
      <left style="thin">
        <color theme="0" tint="-0.499984740745262"/>
      </left>
      <right style="double">
        <color indexed="64"/>
      </right>
      <top style="thin">
        <color theme="1" tint="0.34998626667073579"/>
      </top>
      <bottom style="double">
        <color theme="1" tint="0.34998626667073579"/>
      </bottom>
      <diagonal/>
    </border>
    <border>
      <left style="double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23"/>
      </right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double">
        <color indexed="64"/>
      </bottom>
      <diagonal/>
    </border>
    <border>
      <left style="thin">
        <color indexed="23"/>
      </left>
      <right/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23"/>
      </bottom>
      <diagonal/>
    </border>
    <border>
      <left style="thin">
        <color indexed="23"/>
      </left>
      <right style="double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double">
        <color indexed="64"/>
      </right>
      <top style="thin">
        <color indexed="23"/>
      </top>
      <bottom style="double">
        <color indexed="64"/>
      </bottom>
      <diagonal/>
    </border>
    <border>
      <left style="thin">
        <color indexed="23"/>
      </left>
      <right style="double">
        <color indexed="64"/>
      </right>
      <top/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 style="thin">
        <color indexed="23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 style="thin">
        <color indexed="55"/>
      </right>
      <top style="double">
        <color indexed="64"/>
      </top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double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theme="0" tint="-0.499984740745262"/>
      </bottom>
      <diagonal/>
    </border>
    <border>
      <left style="thin">
        <color indexed="23"/>
      </left>
      <right/>
      <top style="double">
        <color indexed="64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55"/>
      </right>
      <top style="double">
        <color indexed="64"/>
      </top>
      <bottom style="thin">
        <color theme="0" tint="-0.499984740745262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thin">
        <color indexed="23"/>
      </right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double">
        <color indexed="64"/>
      </top>
      <bottom style="thin">
        <color theme="0" tint="-0.499984740745262"/>
      </bottom>
      <diagonal/>
    </border>
    <border>
      <left style="thin">
        <color indexed="55"/>
      </left>
      <right style="thin">
        <color indexed="23"/>
      </right>
      <top style="double">
        <color indexed="64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 style="double">
        <color indexed="64"/>
      </bottom>
      <diagonal/>
    </border>
    <border>
      <left style="double">
        <color indexed="64"/>
      </left>
      <right style="thin">
        <color indexed="23"/>
      </right>
      <top style="double">
        <color indexed="64"/>
      </top>
      <bottom style="thin">
        <color theme="1" tint="0.499984740745262"/>
      </bottom>
      <diagonal/>
    </border>
    <border>
      <left/>
      <right style="thin">
        <color indexed="55"/>
      </right>
      <top style="thin">
        <color indexed="64"/>
      </top>
      <bottom/>
      <diagonal/>
    </border>
    <border>
      <left style="thin">
        <color indexed="23"/>
      </left>
      <right style="double">
        <color indexed="64"/>
      </right>
      <top style="double">
        <color indexed="64"/>
      </top>
      <bottom style="thin">
        <color theme="1" tint="0.499984740745262"/>
      </bottom>
      <diagonal/>
    </border>
    <border>
      <left style="thin">
        <color indexed="23"/>
      </left>
      <right style="thin">
        <color indexed="55"/>
      </right>
      <top/>
      <bottom style="double">
        <color indexed="64"/>
      </bottom>
      <diagonal/>
    </border>
    <border>
      <left style="thin">
        <color indexed="23"/>
      </left>
      <right style="double">
        <color indexed="64"/>
      </right>
      <top/>
      <bottom style="double">
        <color indexed="64"/>
      </bottom>
      <diagonal/>
    </border>
    <border>
      <left style="thin">
        <color indexed="23"/>
      </left>
      <right style="thin">
        <color indexed="55"/>
      </right>
      <top style="thin">
        <color theme="1" tint="0.499984740745262"/>
      </top>
      <bottom/>
      <diagonal/>
    </border>
    <border>
      <left style="thin">
        <color indexed="55"/>
      </left>
      <right style="thin">
        <color indexed="55"/>
      </right>
      <top style="thin">
        <color theme="1" tint="0.499984740745262"/>
      </top>
      <bottom/>
      <diagonal/>
    </border>
    <border>
      <left style="double">
        <color indexed="64"/>
      </left>
      <right style="thin">
        <color indexed="23"/>
      </right>
      <top style="thin">
        <color theme="0" tint="-0.499984740745262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 style="thin">
        <color indexed="23"/>
      </bottom>
      <diagonal/>
    </border>
    <border>
      <left style="thin">
        <color indexed="23"/>
      </left>
      <right style="double">
        <color indexed="64"/>
      </right>
      <top style="double">
        <color indexed="64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double">
        <color indexed="64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theme="0" tint="-0.499984740745262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23"/>
      </right>
      <top style="thin">
        <color indexed="64"/>
      </top>
      <bottom style="double">
        <color auto="1"/>
      </bottom>
      <diagonal/>
    </border>
    <border>
      <left style="thin">
        <color indexed="23"/>
      </left>
      <right style="double">
        <color indexed="64"/>
      </right>
      <top style="thin">
        <color indexed="64"/>
      </top>
      <bottom style="double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8" fillId="0" borderId="0"/>
  </cellStyleXfs>
  <cellXfs count="297">
    <xf numFmtId="0" fontId="0" fillId="0" borderId="0" xfId="0"/>
    <xf numFmtId="0" fontId="1" fillId="0" borderId="0" xfId="2"/>
    <xf numFmtId="0" fontId="1" fillId="0" borderId="0" xfId="2" applyAlignment="1">
      <alignment horizontal="center"/>
    </xf>
    <xf numFmtId="164" fontId="1" fillId="0" borderId="0" xfId="2" applyNumberFormat="1" applyAlignment="1">
      <alignment horizontal="center"/>
    </xf>
    <xf numFmtId="165" fontId="1" fillId="0" borderId="0" xfId="2" applyNumberFormat="1" applyAlignment="1">
      <alignment horizontal="center"/>
    </xf>
    <xf numFmtId="9" fontId="0" fillId="0" borderId="0" xfId="1" applyFont="1"/>
    <xf numFmtId="9" fontId="1" fillId="0" borderId="0" xfId="1" applyAlignment="1">
      <alignment horizontal="center"/>
    </xf>
    <xf numFmtId="0" fontId="2" fillId="2" borderId="3" xfId="2" applyFont="1" applyFill="1" applyBorder="1" applyAlignment="1">
      <alignment horizontal="center"/>
    </xf>
    <xf numFmtId="0" fontId="2" fillId="2" borderId="9" xfId="2" applyFont="1" applyFill="1" applyBorder="1" applyAlignment="1">
      <alignment horizontal="center" vertical="center" wrapText="1" shrinkToFit="1"/>
    </xf>
    <xf numFmtId="0" fontId="2" fillId="2" borderId="10" xfId="2" applyFont="1" applyFill="1" applyBorder="1" applyAlignment="1">
      <alignment horizontal="center" vertical="center" wrapText="1" shrinkToFit="1"/>
    </xf>
    <xf numFmtId="164" fontId="2" fillId="2" borderId="10" xfId="2" applyNumberFormat="1" applyFont="1" applyFill="1" applyBorder="1" applyAlignment="1">
      <alignment horizontal="center" vertical="center" wrapText="1" shrinkToFit="1"/>
    </xf>
    <xf numFmtId="165" fontId="2" fillId="2" borderId="10" xfId="2" applyNumberFormat="1" applyFont="1" applyFill="1" applyBorder="1" applyAlignment="1">
      <alignment horizontal="center" vertical="center" wrapText="1" shrinkToFit="1"/>
    </xf>
    <xf numFmtId="2" fontId="2" fillId="2" borderId="10" xfId="2" applyNumberFormat="1" applyFont="1" applyFill="1" applyBorder="1" applyAlignment="1">
      <alignment horizontal="center" vertical="center" wrapText="1" shrinkToFit="1"/>
    </xf>
    <xf numFmtId="9" fontId="2" fillId="2" borderId="11" xfId="1" applyFont="1" applyFill="1" applyBorder="1" applyAlignment="1">
      <alignment horizontal="center" vertical="center" wrapText="1" shrinkToFit="1"/>
    </xf>
    <xf numFmtId="9" fontId="2" fillId="2" borderId="10" xfId="1" applyFont="1" applyFill="1" applyBorder="1" applyAlignment="1">
      <alignment horizontal="center" vertical="center" wrapText="1" shrinkToFit="1"/>
    </xf>
    <xf numFmtId="9" fontId="2" fillId="2" borderId="12" xfId="1" applyFont="1" applyFill="1" applyBorder="1" applyAlignment="1">
      <alignment horizontal="center" vertical="center" wrapText="1" shrinkToFit="1"/>
    </xf>
    <xf numFmtId="2" fontId="2" fillId="3" borderId="8" xfId="2" applyNumberFormat="1" applyFont="1" applyFill="1" applyBorder="1" applyAlignment="1">
      <alignment horizontal="center" vertical="center" wrapText="1" shrinkToFit="1"/>
    </xf>
    <xf numFmtId="0" fontId="1" fillId="0" borderId="0" xfId="2" applyAlignment="1">
      <alignment horizontal="center" vertical="center" wrapText="1" shrinkToFit="1"/>
    </xf>
    <xf numFmtId="0" fontId="1" fillId="0" borderId="13" xfId="2" applyBorder="1"/>
    <xf numFmtId="0" fontId="1" fillId="0" borderId="8" xfId="2" applyBorder="1" applyAlignment="1">
      <alignment horizontal="center"/>
    </xf>
    <xf numFmtId="14" fontId="1" fillId="0" borderId="8" xfId="2" applyNumberFormat="1" applyBorder="1" applyAlignment="1">
      <alignment horizontal="center"/>
    </xf>
    <xf numFmtId="166" fontId="1" fillId="0" borderId="8" xfId="2" applyNumberFormat="1" applyBorder="1" applyAlignment="1">
      <alignment horizontal="center"/>
    </xf>
    <xf numFmtId="164" fontId="1" fillId="0" borderId="8" xfId="2" applyNumberFormat="1" applyBorder="1" applyAlignment="1">
      <alignment horizontal="center"/>
    </xf>
    <xf numFmtId="165" fontId="1" fillId="0" borderId="8" xfId="2" applyNumberFormat="1" applyBorder="1" applyAlignment="1">
      <alignment horizontal="center"/>
    </xf>
    <xf numFmtId="165" fontId="1" fillId="0" borderId="8" xfId="2" applyNumberFormat="1" applyBorder="1"/>
    <xf numFmtId="165" fontId="1" fillId="0" borderId="14" xfId="2" applyNumberFormat="1" applyBorder="1"/>
    <xf numFmtId="9" fontId="1" fillId="0" borderId="15" xfId="1" applyBorder="1" applyAlignment="1">
      <alignment horizontal="center"/>
    </xf>
    <xf numFmtId="9" fontId="1" fillId="0" borderId="16" xfId="1" applyBorder="1" applyAlignment="1">
      <alignment horizontal="center"/>
    </xf>
    <xf numFmtId="0" fontId="4" fillId="0" borderId="8" xfId="2" applyFont="1" applyBorder="1" applyAlignment="1">
      <alignment horizontal="center"/>
    </xf>
    <xf numFmtId="165" fontId="4" fillId="0" borderId="8" xfId="2" applyNumberFormat="1" applyFont="1" applyBorder="1"/>
    <xf numFmtId="0" fontId="1" fillId="0" borderId="17" xfId="2" applyBorder="1"/>
    <xf numFmtId="0" fontId="1" fillId="0" borderId="18" xfId="2" applyBorder="1" applyAlignment="1">
      <alignment horizontal="center"/>
    </xf>
    <xf numFmtId="14" fontId="1" fillId="0" borderId="18" xfId="2" applyNumberFormat="1" applyBorder="1" applyAlignment="1">
      <alignment horizontal="center"/>
    </xf>
    <xf numFmtId="166" fontId="1" fillId="0" borderId="18" xfId="2" applyNumberFormat="1" applyBorder="1" applyAlignment="1">
      <alignment horizontal="center"/>
    </xf>
    <xf numFmtId="164" fontId="1" fillId="0" borderId="18" xfId="2" applyNumberFormat="1" applyBorder="1" applyAlignment="1">
      <alignment horizontal="center"/>
    </xf>
    <xf numFmtId="165" fontId="1" fillId="0" borderId="18" xfId="2" applyNumberFormat="1" applyBorder="1" applyAlignment="1">
      <alignment horizontal="center"/>
    </xf>
    <xf numFmtId="165" fontId="1" fillId="0" borderId="18" xfId="2" applyNumberFormat="1" applyBorder="1"/>
    <xf numFmtId="165" fontId="1" fillId="0" borderId="19" xfId="2" applyNumberFormat="1" applyBorder="1"/>
    <xf numFmtId="9" fontId="1" fillId="0" borderId="20" xfId="1" applyBorder="1" applyAlignment="1">
      <alignment horizontal="center"/>
    </xf>
    <xf numFmtId="9" fontId="1" fillId="0" borderId="21" xfId="1" applyBorder="1" applyAlignment="1">
      <alignment horizontal="center"/>
    </xf>
    <xf numFmtId="0" fontId="1" fillId="0" borderId="22" xfId="2" applyBorder="1"/>
    <xf numFmtId="0" fontId="1" fillId="0" borderId="23" xfId="2" applyBorder="1" applyAlignment="1">
      <alignment horizontal="center"/>
    </xf>
    <xf numFmtId="14" fontId="1" fillId="0" borderId="23" xfId="2" applyNumberFormat="1" applyBorder="1" applyAlignment="1">
      <alignment horizontal="center"/>
    </xf>
    <xf numFmtId="166" fontId="1" fillId="0" borderId="23" xfId="2" applyNumberFormat="1" applyBorder="1" applyAlignment="1">
      <alignment horizontal="center"/>
    </xf>
    <xf numFmtId="164" fontId="1" fillId="0" borderId="23" xfId="2" applyNumberFormat="1" applyBorder="1" applyAlignment="1">
      <alignment horizontal="center"/>
    </xf>
    <xf numFmtId="165" fontId="1" fillId="0" borderId="23" xfId="2" applyNumberFormat="1" applyBorder="1" applyAlignment="1">
      <alignment horizontal="center"/>
    </xf>
    <xf numFmtId="165" fontId="1" fillId="0" borderId="23" xfId="2" applyNumberFormat="1" applyBorder="1"/>
    <xf numFmtId="165" fontId="1" fillId="0" borderId="24" xfId="2" applyNumberFormat="1" applyBorder="1"/>
    <xf numFmtId="9" fontId="1" fillId="0" borderId="25" xfId="1" applyBorder="1" applyAlignment="1">
      <alignment horizontal="center"/>
    </xf>
    <xf numFmtId="9" fontId="1" fillId="0" borderId="26" xfId="1" applyBorder="1" applyAlignment="1">
      <alignment horizontal="center"/>
    </xf>
    <xf numFmtId="0" fontId="1" fillId="0" borderId="27" xfId="2" applyBorder="1"/>
    <xf numFmtId="0" fontId="1" fillId="0" borderId="9" xfId="2" applyBorder="1"/>
    <xf numFmtId="0" fontId="1" fillId="0" borderId="10" xfId="2" applyBorder="1" applyAlignment="1">
      <alignment horizontal="center"/>
    </xf>
    <xf numFmtId="14" fontId="1" fillId="0" borderId="10" xfId="2" applyNumberFormat="1" applyBorder="1" applyAlignment="1">
      <alignment horizontal="center"/>
    </xf>
    <xf numFmtId="166" fontId="1" fillId="0" borderId="10" xfId="2" applyNumberFormat="1" applyBorder="1" applyAlignment="1">
      <alignment horizontal="center"/>
    </xf>
    <xf numFmtId="164" fontId="1" fillId="0" borderId="10" xfId="2" applyNumberFormat="1" applyBorder="1" applyAlignment="1">
      <alignment horizontal="center"/>
    </xf>
    <xf numFmtId="165" fontId="1" fillId="0" borderId="10" xfId="2" applyNumberFormat="1" applyBorder="1" applyAlignment="1">
      <alignment horizontal="center"/>
    </xf>
    <xf numFmtId="165" fontId="1" fillId="0" borderId="10" xfId="2" applyNumberFormat="1" applyBorder="1"/>
    <xf numFmtId="165" fontId="1" fillId="0" borderId="28" xfId="2" applyNumberFormat="1" applyBorder="1"/>
    <xf numFmtId="9" fontId="1" fillId="0" borderId="29" xfId="1" applyBorder="1" applyAlignment="1">
      <alignment horizontal="center"/>
    </xf>
    <xf numFmtId="9" fontId="1" fillId="0" borderId="30" xfId="1" applyBorder="1" applyAlignment="1">
      <alignment horizontal="center"/>
    </xf>
    <xf numFmtId="0" fontId="1" fillId="0" borderId="31" xfId="2" applyBorder="1"/>
    <xf numFmtId="0" fontId="1" fillId="0" borderId="32" xfId="2" applyBorder="1" applyAlignment="1">
      <alignment horizontal="center"/>
    </xf>
    <xf numFmtId="14" fontId="1" fillId="0" borderId="32" xfId="2" applyNumberFormat="1" applyBorder="1" applyAlignment="1">
      <alignment horizontal="center"/>
    </xf>
    <xf numFmtId="166" fontId="1" fillId="0" borderId="32" xfId="2" applyNumberFormat="1" applyBorder="1" applyAlignment="1">
      <alignment horizontal="center"/>
    </xf>
    <xf numFmtId="164" fontId="1" fillId="0" borderId="32" xfId="2" applyNumberFormat="1" applyBorder="1" applyAlignment="1">
      <alignment horizontal="center"/>
    </xf>
    <xf numFmtId="165" fontId="1" fillId="0" borderId="32" xfId="2" applyNumberFormat="1" applyBorder="1" applyAlignment="1">
      <alignment horizontal="center"/>
    </xf>
    <xf numFmtId="165" fontId="1" fillId="0" borderId="32" xfId="2" applyNumberFormat="1" applyBorder="1"/>
    <xf numFmtId="165" fontId="1" fillId="0" borderId="33" xfId="2" applyNumberFormat="1" applyBorder="1"/>
    <xf numFmtId="9" fontId="1" fillId="0" borderId="34" xfId="1" applyBorder="1" applyAlignment="1">
      <alignment horizontal="center"/>
    </xf>
    <xf numFmtId="9" fontId="1" fillId="0" borderId="35" xfId="1" applyBorder="1" applyAlignment="1">
      <alignment horizontal="center"/>
    </xf>
    <xf numFmtId="165" fontId="1" fillId="0" borderId="23" xfId="2" applyNumberFormat="1" applyBorder="1" applyAlignment="1">
      <alignment horizontal="right"/>
    </xf>
    <xf numFmtId="165" fontId="1" fillId="0" borderId="8" xfId="2" applyNumberFormat="1" applyBorder="1" applyAlignment="1">
      <alignment horizontal="right"/>
    </xf>
    <xf numFmtId="0" fontId="1" fillId="0" borderId="36" xfId="2" applyBorder="1"/>
    <xf numFmtId="0" fontId="1" fillId="0" borderId="37" xfId="2" applyBorder="1" applyAlignment="1">
      <alignment horizontal="center"/>
    </xf>
    <xf numFmtId="14" fontId="1" fillId="0" borderId="37" xfId="2" applyNumberFormat="1" applyBorder="1" applyAlignment="1">
      <alignment horizontal="center"/>
    </xf>
    <xf numFmtId="166" fontId="1" fillId="0" borderId="37" xfId="2" applyNumberFormat="1" applyBorder="1" applyAlignment="1">
      <alignment horizontal="center"/>
    </xf>
    <xf numFmtId="164" fontId="1" fillId="0" borderId="37" xfId="2" applyNumberFormat="1" applyBorder="1" applyAlignment="1">
      <alignment horizontal="center"/>
    </xf>
    <xf numFmtId="165" fontId="1" fillId="0" borderId="38" xfId="2" applyNumberFormat="1" applyBorder="1" applyAlignment="1">
      <alignment horizontal="right"/>
    </xf>
    <xf numFmtId="165" fontId="1" fillId="0" borderId="37" xfId="2" applyNumberFormat="1" applyBorder="1" applyAlignment="1">
      <alignment horizontal="right"/>
    </xf>
    <xf numFmtId="165" fontId="1" fillId="0" borderId="37" xfId="2" applyNumberFormat="1" applyBorder="1"/>
    <xf numFmtId="165" fontId="1" fillId="0" borderId="38" xfId="2" applyNumberFormat="1" applyBorder="1"/>
    <xf numFmtId="165" fontId="1" fillId="0" borderId="39" xfId="2" applyNumberFormat="1" applyBorder="1"/>
    <xf numFmtId="9" fontId="1" fillId="0" borderId="40" xfId="1" applyBorder="1" applyAlignment="1">
      <alignment horizontal="center"/>
    </xf>
    <xf numFmtId="9" fontId="1" fillId="0" borderId="41" xfId="1" applyBorder="1" applyAlignment="1">
      <alignment horizontal="center"/>
    </xf>
    <xf numFmtId="9" fontId="1" fillId="0" borderId="42" xfId="1" applyBorder="1" applyAlignment="1">
      <alignment horizontal="center"/>
    </xf>
    <xf numFmtId="165" fontId="1" fillId="0" borderId="18" xfId="2" applyNumberFormat="1" applyBorder="1" applyAlignment="1">
      <alignment horizontal="right"/>
    </xf>
    <xf numFmtId="165" fontId="1" fillId="0" borderId="32" xfId="2" applyNumberFormat="1" applyBorder="1" applyAlignment="1">
      <alignment horizontal="right"/>
    </xf>
    <xf numFmtId="0" fontId="1" fillId="0" borderId="43" xfId="2" applyBorder="1"/>
    <xf numFmtId="0" fontId="1" fillId="0" borderId="44" xfId="2" applyBorder="1" applyAlignment="1">
      <alignment horizontal="center"/>
    </xf>
    <xf numFmtId="14" fontId="1" fillId="0" borderId="45" xfId="2" applyNumberFormat="1" applyBorder="1" applyAlignment="1">
      <alignment horizontal="center"/>
    </xf>
    <xf numFmtId="166" fontId="1" fillId="0" borderId="44" xfId="2" applyNumberFormat="1" applyBorder="1" applyAlignment="1">
      <alignment horizontal="center"/>
    </xf>
    <xf numFmtId="164" fontId="1" fillId="0" borderId="45" xfId="2" applyNumberFormat="1" applyBorder="1" applyAlignment="1">
      <alignment horizontal="center"/>
    </xf>
    <xf numFmtId="165" fontId="1" fillId="0" borderId="45" xfId="2" applyNumberFormat="1" applyBorder="1" applyAlignment="1">
      <alignment horizontal="right"/>
    </xf>
    <xf numFmtId="165" fontId="1" fillId="0" borderId="45" xfId="2" applyNumberFormat="1" applyBorder="1"/>
    <xf numFmtId="165" fontId="1" fillId="0" borderId="46" xfId="2" applyNumberFormat="1" applyBorder="1"/>
    <xf numFmtId="9" fontId="1" fillId="0" borderId="47" xfId="1" applyBorder="1" applyAlignment="1">
      <alignment horizontal="center"/>
    </xf>
    <xf numFmtId="9" fontId="1" fillId="0" borderId="48" xfId="1" applyBorder="1" applyAlignment="1">
      <alignment horizontal="center"/>
    </xf>
    <xf numFmtId="9" fontId="1" fillId="0" borderId="49" xfId="1" applyBorder="1" applyAlignment="1">
      <alignment horizontal="center"/>
    </xf>
    <xf numFmtId="0" fontId="1" fillId="0" borderId="50" xfId="2" applyBorder="1"/>
    <xf numFmtId="0" fontId="1" fillId="0" borderId="51" xfId="2" applyBorder="1" applyAlignment="1">
      <alignment horizontal="center"/>
    </xf>
    <xf numFmtId="166" fontId="1" fillId="0" borderId="51" xfId="2" applyNumberFormat="1" applyBorder="1" applyAlignment="1">
      <alignment horizontal="center"/>
    </xf>
    <xf numFmtId="9" fontId="1" fillId="0" borderId="52" xfId="1" applyBorder="1" applyAlignment="1">
      <alignment horizontal="center"/>
    </xf>
    <xf numFmtId="0" fontId="1" fillId="0" borderId="53" xfId="2" applyBorder="1" applyAlignment="1">
      <alignment horizontal="center"/>
    </xf>
    <xf numFmtId="166" fontId="1" fillId="0" borderId="53" xfId="2" applyNumberFormat="1" applyBorder="1" applyAlignment="1">
      <alignment horizontal="center"/>
    </xf>
    <xf numFmtId="9" fontId="1" fillId="0" borderId="54" xfId="1" applyBorder="1" applyAlignment="1">
      <alignment horizontal="center"/>
    </xf>
    <xf numFmtId="0" fontId="1" fillId="0" borderId="55" xfId="2" applyBorder="1"/>
    <xf numFmtId="0" fontId="1" fillId="0" borderId="4" xfId="2" applyBorder="1" applyAlignment="1">
      <alignment horizontal="center"/>
    </xf>
    <xf numFmtId="14" fontId="1" fillId="0" borderId="4" xfId="2" applyNumberFormat="1" applyBorder="1" applyAlignment="1">
      <alignment horizontal="center"/>
    </xf>
    <xf numFmtId="166" fontId="1" fillId="0" borderId="4" xfId="2" applyNumberFormat="1" applyBorder="1" applyAlignment="1">
      <alignment horizontal="center"/>
    </xf>
    <xf numFmtId="165" fontId="1" fillId="0" borderId="4" xfId="2" applyNumberFormat="1" applyBorder="1" applyAlignment="1">
      <alignment horizontal="right"/>
    </xf>
    <xf numFmtId="165" fontId="1" fillId="0" borderId="4" xfId="2" applyNumberFormat="1" applyBorder="1"/>
    <xf numFmtId="165" fontId="1" fillId="0" borderId="5" xfId="2" applyNumberFormat="1" applyBorder="1"/>
    <xf numFmtId="9" fontId="1" fillId="0" borderId="56" xfId="1" applyBorder="1" applyAlignment="1">
      <alignment horizontal="center"/>
    </xf>
    <xf numFmtId="165" fontId="1" fillId="0" borderId="10" xfId="2" applyNumberFormat="1" applyBorder="1" applyAlignment="1">
      <alignment horizontal="right"/>
    </xf>
    <xf numFmtId="0" fontId="1" fillId="0" borderId="57" xfId="2" applyBorder="1"/>
    <xf numFmtId="0" fontId="1" fillId="0" borderId="58" xfId="2" applyBorder="1" applyAlignment="1">
      <alignment horizontal="center"/>
    </xf>
    <xf numFmtId="14" fontId="1" fillId="0" borderId="58" xfId="2" applyNumberFormat="1" applyBorder="1" applyAlignment="1">
      <alignment horizontal="center"/>
    </xf>
    <xf numFmtId="166" fontId="1" fillId="0" borderId="58" xfId="2" applyNumberFormat="1" applyBorder="1" applyAlignment="1">
      <alignment horizontal="center"/>
    </xf>
    <xf numFmtId="164" fontId="1" fillId="0" borderId="58" xfId="2" applyNumberFormat="1" applyBorder="1" applyAlignment="1">
      <alignment horizontal="center"/>
    </xf>
    <xf numFmtId="165" fontId="1" fillId="0" borderId="58" xfId="2" applyNumberFormat="1" applyBorder="1" applyAlignment="1">
      <alignment horizontal="right"/>
    </xf>
    <xf numFmtId="165" fontId="1" fillId="0" borderId="58" xfId="2" applyNumberFormat="1" applyBorder="1"/>
    <xf numFmtId="165" fontId="1" fillId="0" borderId="59" xfId="2" applyNumberFormat="1" applyBorder="1"/>
    <xf numFmtId="9" fontId="1" fillId="0" borderId="60" xfId="1" applyBorder="1" applyAlignment="1">
      <alignment horizontal="center"/>
    </xf>
    <xf numFmtId="9" fontId="1" fillId="0" borderId="61" xfId="1" applyBorder="1" applyAlignment="1">
      <alignment horizontal="center"/>
    </xf>
    <xf numFmtId="0" fontId="1" fillId="0" borderId="62" xfId="2" applyBorder="1"/>
    <xf numFmtId="0" fontId="1" fillId="0" borderId="63" xfId="2" applyBorder="1" applyAlignment="1">
      <alignment horizontal="center"/>
    </xf>
    <xf numFmtId="14" fontId="1" fillId="0" borderId="63" xfId="2" applyNumberFormat="1" applyBorder="1" applyAlignment="1">
      <alignment horizontal="center"/>
    </xf>
    <xf numFmtId="166" fontId="1" fillId="0" borderId="63" xfId="2" applyNumberFormat="1" applyBorder="1" applyAlignment="1">
      <alignment horizontal="center"/>
    </xf>
    <xf numFmtId="164" fontId="1" fillId="0" borderId="63" xfId="2" applyNumberFormat="1" applyBorder="1" applyAlignment="1">
      <alignment horizontal="center"/>
    </xf>
    <xf numFmtId="165" fontId="1" fillId="0" borderId="63" xfId="2" applyNumberFormat="1" applyBorder="1" applyAlignment="1">
      <alignment horizontal="right"/>
    </xf>
    <xf numFmtId="165" fontId="1" fillId="0" borderId="63" xfId="2" applyNumberFormat="1" applyBorder="1"/>
    <xf numFmtId="165" fontId="1" fillId="0" borderId="64" xfId="2" applyNumberFormat="1" applyBorder="1"/>
    <xf numFmtId="9" fontId="1" fillId="0" borderId="65" xfId="1" applyBorder="1" applyAlignment="1">
      <alignment horizontal="center"/>
    </xf>
    <xf numFmtId="9" fontId="1" fillId="0" borderId="66" xfId="1" applyBorder="1" applyAlignment="1">
      <alignment horizontal="center"/>
    </xf>
    <xf numFmtId="9" fontId="1" fillId="0" borderId="0" xfId="1" applyBorder="1" applyAlignment="1">
      <alignment horizontal="center"/>
    </xf>
    <xf numFmtId="0" fontId="1" fillId="0" borderId="67" xfId="2" applyBorder="1"/>
    <xf numFmtId="0" fontId="1" fillId="0" borderId="68" xfId="2" applyBorder="1" applyAlignment="1">
      <alignment horizontal="center"/>
    </xf>
    <xf numFmtId="14" fontId="1" fillId="0" borderId="68" xfId="2" applyNumberFormat="1" applyBorder="1" applyAlignment="1">
      <alignment horizontal="center"/>
    </xf>
    <xf numFmtId="166" fontId="1" fillId="0" borderId="68" xfId="2" applyNumberFormat="1" applyBorder="1" applyAlignment="1">
      <alignment horizontal="center"/>
    </xf>
    <xf numFmtId="164" fontId="1" fillId="0" borderId="68" xfId="2" applyNumberFormat="1" applyBorder="1" applyAlignment="1">
      <alignment horizontal="center"/>
    </xf>
    <xf numFmtId="165" fontId="1" fillId="0" borderId="68" xfId="2" applyNumberFormat="1" applyBorder="1" applyAlignment="1">
      <alignment horizontal="right"/>
    </xf>
    <xf numFmtId="165" fontId="1" fillId="0" borderId="68" xfId="2" applyNumberFormat="1" applyBorder="1"/>
    <xf numFmtId="165" fontId="1" fillId="0" borderId="69" xfId="2" applyNumberFormat="1" applyBorder="1"/>
    <xf numFmtId="9" fontId="1" fillId="0" borderId="70" xfId="1" applyBorder="1" applyAlignment="1">
      <alignment horizontal="center"/>
    </xf>
    <xf numFmtId="9" fontId="1" fillId="0" borderId="71" xfId="1" applyBorder="1" applyAlignment="1">
      <alignment horizontal="center"/>
    </xf>
    <xf numFmtId="0" fontId="1" fillId="0" borderId="72" xfId="2" applyBorder="1"/>
    <xf numFmtId="0" fontId="1" fillId="0" borderId="73" xfId="2" applyBorder="1" applyAlignment="1">
      <alignment horizontal="center"/>
    </xf>
    <xf numFmtId="14" fontId="1" fillId="0" borderId="73" xfId="2" applyNumberFormat="1" applyBorder="1" applyAlignment="1">
      <alignment horizontal="center"/>
    </xf>
    <xf numFmtId="166" fontId="1" fillId="0" borderId="73" xfId="2" applyNumberFormat="1" applyBorder="1" applyAlignment="1">
      <alignment horizontal="center"/>
    </xf>
    <xf numFmtId="164" fontId="1" fillId="0" borderId="73" xfId="2" applyNumberFormat="1" applyBorder="1" applyAlignment="1">
      <alignment horizontal="center"/>
    </xf>
    <xf numFmtId="165" fontId="1" fillId="0" borderId="73" xfId="2" applyNumberFormat="1" applyBorder="1" applyAlignment="1">
      <alignment horizontal="right"/>
    </xf>
    <xf numFmtId="165" fontId="1" fillId="0" borderId="73" xfId="2" applyNumberFormat="1" applyBorder="1"/>
    <xf numFmtId="165" fontId="1" fillId="0" borderId="74" xfId="2" applyNumberFormat="1" applyBorder="1"/>
    <xf numFmtId="9" fontId="1" fillId="0" borderId="75" xfId="1" applyBorder="1" applyAlignment="1">
      <alignment horizontal="center"/>
    </xf>
    <xf numFmtId="9" fontId="1" fillId="0" borderId="76" xfId="1" applyBorder="1" applyAlignment="1">
      <alignment horizontal="center"/>
    </xf>
    <xf numFmtId="14" fontId="1" fillId="0" borderId="0" xfId="2" applyNumberFormat="1" applyAlignment="1">
      <alignment horizontal="center"/>
    </xf>
    <xf numFmtId="166" fontId="1" fillId="0" borderId="0" xfId="2" applyNumberFormat="1" applyAlignment="1">
      <alignment horizontal="center"/>
    </xf>
    <xf numFmtId="165" fontId="1" fillId="0" borderId="0" xfId="2" applyNumberFormat="1" applyAlignment="1">
      <alignment horizontal="right"/>
    </xf>
    <xf numFmtId="165" fontId="1" fillId="0" borderId="0" xfId="2" applyNumberFormat="1"/>
    <xf numFmtId="0" fontId="4" fillId="0" borderId="0" xfId="2" applyFont="1" applyAlignment="1">
      <alignment horizontal="left" vertical="center"/>
    </xf>
    <xf numFmtId="0" fontId="4" fillId="0" borderId="0" xfId="2" applyFont="1"/>
    <xf numFmtId="0" fontId="4" fillId="0" borderId="0" xfId="2" applyFont="1" applyAlignment="1">
      <alignment horizontal="left"/>
    </xf>
    <xf numFmtId="9" fontId="1" fillId="0" borderId="8" xfId="1" applyBorder="1" applyAlignment="1">
      <alignment horizontal="center"/>
    </xf>
    <xf numFmtId="9" fontId="1" fillId="0" borderId="78" xfId="1" applyBorder="1" applyAlignment="1">
      <alignment horizontal="center"/>
    </xf>
    <xf numFmtId="9" fontId="1" fillId="0" borderId="18" xfId="1" applyBorder="1" applyAlignment="1">
      <alignment horizontal="center"/>
    </xf>
    <xf numFmtId="9" fontId="1" fillId="0" borderId="79" xfId="1" applyBorder="1" applyAlignment="1">
      <alignment horizontal="center"/>
    </xf>
    <xf numFmtId="9" fontId="1" fillId="0" borderId="23" xfId="1" applyBorder="1" applyAlignment="1">
      <alignment horizontal="center"/>
    </xf>
    <xf numFmtId="9" fontId="1" fillId="0" borderId="80" xfId="1" applyBorder="1" applyAlignment="1">
      <alignment horizontal="center"/>
    </xf>
    <xf numFmtId="164" fontId="1" fillId="0" borderId="4" xfId="2" applyNumberFormat="1" applyBorder="1" applyAlignment="1">
      <alignment horizontal="center"/>
    </xf>
    <xf numFmtId="165" fontId="1" fillId="0" borderId="4" xfId="2" applyNumberFormat="1" applyBorder="1" applyAlignment="1">
      <alignment horizontal="center"/>
    </xf>
    <xf numFmtId="0" fontId="1" fillId="0" borderId="81" xfId="2" applyBorder="1" applyAlignment="1">
      <alignment horizontal="center"/>
    </xf>
    <xf numFmtId="0" fontId="1" fillId="0" borderId="82" xfId="2" applyBorder="1" applyAlignment="1">
      <alignment horizontal="center"/>
    </xf>
    <xf numFmtId="164" fontId="1" fillId="0" borderId="82" xfId="2" applyNumberFormat="1" applyBorder="1" applyAlignment="1">
      <alignment horizontal="center"/>
    </xf>
    <xf numFmtId="165" fontId="1" fillId="0" borderId="82" xfId="2" applyNumberFormat="1" applyBorder="1" applyAlignment="1">
      <alignment horizontal="center"/>
    </xf>
    <xf numFmtId="165" fontId="1" fillId="0" borderId="82" xfId="2" applyNumberFormat="1" applyBorder="1"/>
    <xf numFmtId="0" fontId="1" fillId="0" borderId="83" xfId="2" applyBorder="1" applyAlignment="1">
      <alignment horizontal="center"/>
    </xf>
    <xf numFmtId="164" fontId="1" fillId="0" borderId="83" xfId="2" applyNumberFormat="1" applyBorder="1" applyAlignment="1">
      <alignment horizontal="center"/>
    </xf>
    <xf numFmtId="165" fontId="1" fillId="0" borderId="83" xfId="2" applyNumberFormat="1" applyBorder="1" applyAlignment="1">
      <alignment horizontal="center"/>
    </xf>
    <xf numFmtId="165" fontId="1" fillId="0" borderId="83" xfId="2" applyNumberFormat="1" applyBorder="1"/>
    <xf numFmtId="0" fontId="1" fillId="0" borderId="84" xfId="2" applyBorder="1" applyAlignment="1">
      <alignment horizontal="center"/>
    </xf>
    <xf numFmtId="164" fontId="1" fillId="0" borderId="84" xfId="2" applyNumberFormat="1" applyBorder="1" applyAlignment="1">
      <alignment horizontal="center"/>
    </xf>
    <xf numFmtId="165" fontId="1" fillId="0" borderId="84" xfId="2" applyNumberFormat="1" applyBorder="1" applyAlignment="1">
      <alignment horizontal="center"/>
    </xf>
    <xf numFmtId="165" fontId="1" fillId="0" borderId="84" xfId="2" applyNumberFormat="1" applyBorder="1"/>
    <xf numFmtId="0" fontId="1" fillId="0" borderId="85" xfId="2" applyBorder="1"/>
    <xf numFmtId="0" fontId="1" fillId="0" borderId="86" xfId="2" applyBorder="1" applyAlignment="1">
      <alignment horizontal="center"/>
    </xf>
    <xf numFmtId="0" fontId="1" fillId="0" borderId="87" xfId="2" applyBorder="1" applyAlignment="1">
      <alignment horizontal="center"/>
    </xf>
    <xf numFmtId="164" fontId="1" fillId="0" borderId="88" xfId="2" applyNumberFormat="1" applyBorder="1" applyAlignment="1">
      <alignment horizontal="center"/>
    </xf>
    <xf numFmtId="165" fontId="1" fillId="0" borderId="88" xfId="2" applyNumberFormat="1" applyBorder="1" applyAlignment="1">
      <alignment horizontal="center"/>
    </xf>
    <xf numFmtId="165" fontId="1" fillId="0" borderId="88" xfId="2" applyNumberFormat="1" applyBorder="1"/>
    <xf numFmtId="164" fontId="1" fillId="0" borderId="89" xfId="2" applyNumberFormat="1" applyBorder="1" applyAlignment="1">
      <alignment horizontal="center"/>
    </xf>
    <xf numFmtId="165" fontId="1" fillId="0" borderId="89" xfId="2" applyNumberFormat="1" applyBorder="1" applyAlignment="1">
      <alignment horizontal="center"/>
    </xf>
    <xf numFmtId="165" fontId="1" fillId="0" borderId="89" xfId="2" applyNumberFormat="1" applyBorder="1"/>
    <xf numFmtId="166" fontId="1" fillId="0" borderId="14" xfId="2" applyNumberFormat="1" applyBorder="1" applyAlignment="1">
      <alignment horizontal="center"/>
    </xf>
    <xf numFmtId="164" fontId="1" fillId="0" borderId="15" xfId="2" applyNumberFormat="1" applyBorder="1" applyAlignment="1">
      <alignment horizontal="center"/>
    </xf>
    <xf numFmtId="165" fontId="1" fillId="0" borderId="15" xfId="2" applyNumberFormat="1" applyBorder="1" applyAlignment="1">
      <alignment horizontal="right"/>
    </xf>
    <xf numFmtId="165" fontId="1" fillId="0" borderId="15" xfId="2" applyNumberFormat="1" applyBorder="1"/>
    <xf numFmtId="9" fontId="1" fillId="0" borderId="90" xfId="1" applyBorder="1" applyAlignment="1">
      <alignment horizontal="center"/>
    </xf>
    <xf numFmtId="164" fontId="1" fillId="0" borderId="91" xfId="2" applyNumberFormat="1" applyBorder="1" applyAlignment="1">
      <alignment horizontal="center"/>
    </xf>
    <xf numFmtId="165" fontId="1" fillId="0" borderId="91" xfId="2" applyNumberFormat="1" applyBorder="1" applyAlignment="1">
      <alignment horizontal="right"/>
    </xf>
    <xf numFmtId="165" fontId="1" fillId="0" borderId="91" xfId="2" applyNumberFormat="1" applyBorder="1"/>
    <xf numFmtId="0" fontId="1" fillId="0" borderId="92" xfId="2" applyBorder="1" applyAlignment="1">
      <alignment horizontal="center"/>
    </xf>
    <xf numFmtId="165" fontId="1" fillId="0" borderId="37" xfId="2" applyNumberFormat="1" applyBorder="1" applyAlignment="1">
      <alignment horizontal="center"/>
    </xf>
    <xf numFmtId="0" fontId="1" fillId="0" borderId="93" xfId="2" applyBorder="1" applyAlignment="1">
      <alignment horizontal="center"/>
    </xf>
    <xf numFmtId="166" fontId="1" fillId="0" borderId="28" xfId="2" applyNumberFormat="1" applyBorder="1" applyAlignment="1">
      <alignment horizontal="center"/>
    </xf>
    <xf numFmtId="164" fontId="1" fillId="0" borderId="92" xfId="2" applyNumberFormat="1" applyBorder="1" applyAlignment="1">
      <alignment horizontal="center"/>
    </xf>
    <xf numFmtId="165" fontId="1" fillId="0" borderId="92" xfId="2" applyNumberFormat="1" applyBorder="1" applyAlignment="1">
      <alignment horizontal="right"/>
    </xf>
    <xf numFmtId="165" fontId="1" fillId="0" borderId="92" xfId="2" applyNumberFormat="1" applyBorder="1"/>
    <xf numFmtId="0" fontId="1" fillId="0" borderId="38" xfId="2" applyBorder="1" applyAlignment="1">
      <alignment horizontal="center"/>
    </xf>
    <xf numFmtId="0" fontId="1" fillId="0" borderId="94" xfId="2" applyBorder="1" applyAlignment="1">
      <alignment horizontal="center"/>
    </xf>
    <xf numFmtId="0" fontId="1" fillId="0" borderId="95" xfId="2" applyBorder="1" applyAlignment="1">
      <alignment horizontal="center"/>
    </xf>
    <xf numFmtId="0" fontId="1" fillId="0" borderId="39" xfId="2" applyBorder="1" applyAlignment="1">
      <alignment horizontal="center"/>
    </xf>
    <xf numFmtId="164" fontId="1" fillId="0" borderId="96" xfId="2" applyNumberFormat="1" applyBorder="1" applyAlignment="1">
      <alignment horizontal="center"/>
    </xf>
    <xf numFmtId="165" fontId="1" fillId="0" borderId="96" xfId="2" applyNumberFormat="1" applyBorder="1" applyAlignment="1">
      <alignment horizontal="right"/>
    </xf>
    <xf numFmtId="165" fontId="1" fillId="0" borderId="89" xfId="2" applyNumberFormat="1" applyBorder="1" applyAlignment="1">
      <alignment horizontal="right"/>
    </xf>
    <xf numFmtId="165" fontId="1" fillId="0" borderId="96" xfId="2" applyNumberFormat="1" applyBorder="1"/>
    <xf numFmtId="9" fontId="1" fillId="0" borderId="10" xfId="1" applyBorder="1" applyAlignment="1">
      <alignment horizontal="center"/>
    </xf>
    <xf numFmtId="9" fontId="1" fillId="0" borderId="38" xfId="1" applyBorder="1" applyAlignment="1">
      <alignment horizontal="center"/>
    </xf>
    <xf numFmtId="9" fontId="1" fillId="0" borderId="12" xfId="1" applyBorder="1" applyAlignment="1">
      <alignment horizontal="center"/>
    </xf>
    <xf numFmtId="0" fontId="1" fillId="4" borderId="8" xfId="2" applyFill="1" applyBorder="1" applyAlignment="1">
      <alignment horizontal="center"/>
    </xf>
    <xf numFmtId="0" fontId="1" fillId="4" borderId="0" xfId="2" applyFill="1" applyAlignment="1">
      <alignment horizontal="center"/>
    </xf>
    <xf numFmtId="0" fontId="1" fillId="4" borderId="18" xfId="2" applyFill="1" applyBorder="1" applyAlignment="1">
      <alignment horizontal="center"/>
    </xf>
    <xf numFmtId="0" fontId="1" fillId="0" borderId="97" xfId="2" applyBorder="1" applyAlignment="1">
      <alignment horizontal="center"/>
    </xf>
    <xf numFmtId="164" fontId="1" fillId="0" borderId="95" xfId="2" applyNumberFormat="1" applyBorder="1" applyAlignment="1">
      <alignment horizontal="center"/>
    </xf>
    <xf numFmtId="165" fontId="1" fillId="0" borderId="98" xfId="2" applyNumberFormat="1" applyBorder="1" applyAlignment="1">
      <alignment horizontal="right"/>
    </xf>
    <xf numFmtId="165" fontId="1" fillId="0" borderId="98" xfId="2" applyNumberFormat="1" applyBorder="1"/>
    <xf numFmtId="165" fontId="1" fillId="0" borderId="99" xfId="2" applyNumberFormat="1" applyBorder="1" applyAlignment="1">
      <alignment horizontal="right"/>
    </xf>
    <xf numFmtId="0" fontId="1" fillId="0" borderId="100" xfId="2" applyBorder="1" applyAlignment="1">
      <alignment horizontal="center"/>
    </xf>
    <xf numFmtId="0" fontId="1" fillId="0" borderId="101" xfId="2" applyBorder="1"/>
    <xf numFmtId="0" fontId="1" fillId="4" borderId="10" xfId="2" applyFill="1" applyBorder="1" applyAlignment="1">
      <alignment horizontal="center"/>
    </xf>
    <xf numFmtId="0" fontId="1" fillId="4" borderId="37" xfId="2" applyFill="1" applyBorder="1" applyAlignment="1">
      <alignment horizontal="center"/>
    </xf>
    <xf numFmtId="0" fontId="1" fillId="0" borderId="45" xfId="2" applyBorder="1" applyAlignment="1">
      <alignment horizontal="center"/>
    </xf>
    <xf numFmtId="166" fontId="1" fillId="0" borderId="39" xfId="2" applyNumberFormat="1" applyBorder="1" applyAlignment="1">
      <alignment horizontal="center"/>
    </xf>
    <xf numFmtId="164" fontId="1" fillId="0" borderId="29" xfId="2" applyNumberFormat="1" applyBorder="1" applyAlignment="1">
      <alignment horizontal="center"/>
    </xf>
    <xf numFmtId="165" fontId="1" fillId="0" borderId="102" xfId="2" applyNumberFormat="1" applyBorder="1" applyAlignment="1">
      <alignment horizontal="right"/>
    </xf>
    <xf numFmtId="165" fontId="1" fillId="0" borderId="97" xfId="2" applyNumberFormat="1" applyBorder="1"/>
    <xf numFmtId="9" fontId="1" fillId="0" borderId="44" xfId="1" applyBorder="1" applyAlignment="1">
      <alignment horizontal="center"/>
    </xf>
    <xf numFmtId="9" fontId="1" fillId="0" borderId="45" xfId="1" applyBorder="1" applyAlignment="1">
      <alignment horizontal="center"/>
    </xf>
    <xf numFmtId="9" fontId="1" fillId="0" borderId="103" xfId="1" applyBorder="1" applyAlignment="1">
      <alignment horizontal="center"/>
    </xf>
    <xf numFmtId="0" fontId="1" fillId="4" borderId="51" xfId="2" applyFill="1" applyBorder="1" applyAlignment="1">
      <alignment horizontal="center"/>
    </xf>
    <xf numFmtId="0" fontId="1" fillId="4" borderId="32" xfId="2" applyFill="1" applyBorder="1" applyAlignment="1">
      <alignment horizontal="center"/>
    </xf>
    <xf numFmtId="164" fontId="1" fillId="0" borderId="104" xfId="2" applyNumberFormat="1" applyBorder="1" applyAlignment="1">
      <alignment horizontal="center"/>
    </xf>
    <xf numFmtId="9" fontId="1" fillId="0" borderId="51" xfId="1" applyBorder="1" applyAlignment="1">
      <alignment horizontal="center"/>
    </xf>
    <xf numFmtId="9" fontId="1" fillId="0" borderId="32" xfId="1" applyBorder="1" applyAlignment="1">
      <alignment horizontal="center"/>
    </xf>
    <xf numFmtId="9" fontId="1" fillId="0" borderId="105" xfId="1" applyBorder="1" applyAlignment="1">
      <alignment horizontal="center"/>
    </xf>
    <xf numFmtId="0" fontId="1" fillId="4" borderId="53" xfId="2" applyFill="1" applyBorder="1" applyAlignment="1">
      <alignment horizontal="center"/>
    </xf>
    <xf numFmtId="164" fontId="1" fillId="0" borderId="106" xfId="2" applyNumberFormat="1" applyBorder="1" applyAlignment="1">
      <alignment horizontal="center"/>
    </xf>
    <xf numFmtId="165" fontId="1" fillId="0" borderId="107" xfId="2" applyNumberFormat="1" applyBorder="1" applyAlignment="1">
      <alignment horizontal="right"/>
    </xf>
    <xf numFmtId="9" fontId="1" fillId="0" borderId="37" xfId="1" applyBorder="1" applyAlignment="1">
      <alignment horizontal="center"/>
    </xf>
    <xf numFmtId="0" fontId="1" fillId="0" borderId="108" xfId="2" applyBorder="1"/>
    <xf numFmtId="0" fontId="1" fillId="0" borderId="109" xfId="2" applyBorder="1" applyAlignment="1">
      <alignment horizontal="center"/>
    </xf>
    <xf numFmtId="0" fontId="1" fillId="4" borderId="4" xfId="2" applyFill="1" applyBorder="1" applyAlignment="1">
      <alignment horizontal="center"/>
    </xf>
    <xf numFmtId="166" fontId="1" fillId="0" borderId="5" xfId="2" applyNumberFormat="1" applyBorder="1" applyAlignment="1">
      <alignment horizontal="center"/>
    </xf>
    <xf numFmtId="164" fontId="1" fillId="0" borderId="40" xfId="2" applyNumberFormat="1" applyBorder="1" applyAlignment="1">
      <alignment horizontal="center"/>
    </xf>
    <xf numFmtId="165" fontId="1" fillId="0" borderId="40" xfId="2" applyNumberFormat="1" applyBorder="1" applyAlignment="1">
      <alignment horizontal="right"/>
    </xf>
    <xf numFmtId="165" fontId="1" fillId="0" borderId="40" xfId="2" applyNumberFormat="1" applyBorder="1"/>
    <xf numFmtId="9" fontId="1" fillId="0" borderId="3" xfId="1" applyBorder="1" applyAlignment="1">
      <alignment horizontal="center"/>
    </xf>
    <xf numFmtId="9" fontId="1" fillId="0" borderId="4" xfId="1" applyBorder="1" applyAlignment="1">
      <alignment horizontal="center"/>
    </xf>
    <xf numFmtId="9" fontId="1" fillId="0" borderId="110" xfId="1" applyBorder="1" applyAlignment="1">
      <alignment horizontal="center"/>
    </xf>
    <xf numFmtId="166" fontId="1" fillId="0" borderId="19" xfId="2" applyNumberFormat="1" applyBorder="1" applyAlignment="1">
      <alignment horizontal="center"/>
    </xf>
    <xf numFmtId="164" fontId="1" fillId="0" borderId="20" xfId="2" applyNumberFormat="1" applyBorder="1" applyAlignment="1">
      <alignment horizontal="center"/>
    </xf>
    <xf numFmtId="165" fontId="1" fillId="0" borderId="20" xfId="2" applyNumberFormat="1" applyBorder="1" applyAlignment="1">
      <alignment horizontal="right"/>
    </xf>
    <xf numFmtId="165" fontId="1" fillId="0" borderId="20" xfId="2" applyNumberFormat="1" applyBorder="1"/>
    <xf numFmtId="9" fontId="1" fillId="0" borderId="111" xfId="1" applyBorder="1" applyAlignment="1">
      <alignment horizontal="center"/>
    </xf>
    <xf numFmtId="165" fontId="1" fillId="0" borderId="29" xfId="2" applyNumberFormat="1" applyBorder="1" applyAlignment="1">
      <alignment horizontal="right"/>
    </xf>
    <xf numFmtId="165" fontId="1" fillId="0" borderId="29" xfId="2" applyNumberFormat="1" applyBorder="1"/>
    <xf numFmtId="9" fontId="1" fillId="0" borderId="112" xfId="1" applyBorder="1" applyAlignment="1">
      <alignment horizontal="center"/>
    </xf>
    <xf numFmtId="9" fontId="1" fillId="0" borderId="0" xfId="2" applyNumberFormat="1"/>
    <xf numFmtId="0" fontId="1" fillId="4" borderId="8" xfId="2" applyFill="1" applyBorder="1" applyAlignment="1">
      <alignment horizontal="center" wrapText="1"/>
    </xf>
    <xf numFmtId="0" fontId="1" fillId="4" borderId="63" xfId="2" applyFill="1" applyBorder="1" applyAlignment="1">
      <alignment horizontal="center"/>
    </xf>
    <xf numFmtId="166" fontId="1" fillId="0" borderId="64" xfId="2" applyNumberFormat="1" applyBorder="1" applyAlignment="1">
      <alignment horizontal="center"/>
    </xf>
    <xf numFmtId="164" fontId="1" fillId="0" borderId="65" xfId="2" applyNumberFormat="1" applyBorder="1" applyAlignment="1">
      <alignment horizontal="center"/>
    </xf>
    <xf numFmtId="165" fontId="1" fillId="0" borderId="65" xfId="2" applyNumberFormat="1" applyBorder="1" applyAlignment="1">
      <alignment horizontal="right"/>
    </xf>
    <xf numFmtId="165" fontId="1" fillId="0" borderId="65" xfId="2" applyNumberFormat="1" applyBorder="1"/>
    <xf numFmtId="9" fontId="1" fillId="0" borderId="113" xfId="1" applyBorder="1" applyAlignment="1">
      <alignment horizontal="center"/>
    </xf>
    <xf numFmtId="9" fontId="1" fillId="0" borderId="63" xfId="1" applyBorder="1" applyAlignment="1">
      <alignment horizontal="center"/>
    </xf>
    <xf numFmtId="9" fontId="1" fillId="0" borderId="114" xfId="1" applyBorder="1" applyAlignment="1">
      <alignment horizontal="center"/>
    </xf>
    <xf numFmtId="0" fontId="1" fillId="4" borderId="73" xfId="2" applyFill="1" applyBorder="1" applyAlignment="1">
      <alignment horizontal="center"/>
    </xf>
    <xf numFmtId="166" fontId="1" fillId="0" borderId="74" xfId="2" applyNumberFormat="1" applyBorder="1" applyAlignment="1">
      <alignment horizontal="center"/>
    </xf>
    <xf numFmtId="164" fontId="1" fillId="0" borderId="75" xfId="2" applyNumberFormat="1" applyBorder="1" applyAlignment="1">
      <alignment horizontal="center"/>
    </xf>
    <xf numFmtId="165" fontId="1" fillId="0" borderId="75" xfId="2" applyNumberFormat="1" applyBorder="1" applyAlignment="1">
      <alignment horizontal="right"/>
    </xf>
    <xf numFmtId="165" fontId="1" fillId="0" borderId="75" xfId="2" applyNumberFormat="1" applyBorder="1"/>
    <xf numFmtId="9" fontId="1" fillId="0" borderId="115" xfId="1" applyBorder="1" applyAlignment="1">
      <alignment horizontal="center"/>
    </xf>
    <xf numFmtId="9" fontId="1" fillId="0" borderId="73" xfId="1" applyBorder="1" applyAlignment="1">
      <alignment horizontal="center"/>
    </xf>
    <xf numFmtId="9" fontId="1" fillId="0" borderId="116" xfId="1" applyBorder="1" applyAlignment="1">
      <alignment horizontal="center"/>
    </xf>
    <xf numFmtId="0" fontId="4" fillId="0" borderId="0" xfId="3" applyFont="1" applyAlignment="1">
      <alignment horizontal="left"/>
    </xf>
    <xf numFmtId="0" fontId="2" fillId="2" borderId="1" xfId="2" applyFont="1" applyFill="1" applyBorder="1" applyAlignment="1">
      <alignment horizontal="center"/>
    </xf>
    <xf numFmtId="0" fontId="2" fillId="2" borderId="2" xfId="2" applyFont="1" applyFill="1" applyBorder="1" applyAlignment="1">
      <alignment horizontal="center"/>
    </xf>
    <xf numFmtId="0" fontId="2" fillId="2" borderId="3" xfId="2" applyFont="1" applyFill="1" applyBorder="1" applyAlignment="1">
      <alignment horizontal="center"/>
    </xf>
    <xf numFmtId="0" fontId="2" fillId="2" borderId="4" xfId="2" applyFont="1" applyFill="1" applyBorder="1" applyAlignment="1">
      <alignment horizontal="center"/>
    </xf>
    <xf numFmtId="165" fontId="2" fillId="2" borderId="5" xfId="2" applyNumberFormat="1" applyFont="1" applyFill="1" applyBorder="1" applyAlignment="1">
      <alignment horizontal="center"/>
    </xf>
    <xf numFmtId="165" fontId="2" fillId="2" borderId="2" xfId="2" applyNumberFormat="1" applyFont="1" applyFill="1" applyBorder="1" applyAlignment="1">
      <alignment horizontal="center"/>
    </xf>
    <xf numFmtId="165" fontId="2" fillId="2" borderId="3" xfId="2" applyNumberFormat="1" applyFont="1" applyFill="1" applyBorder="1" applyAlignment="1">
      <alignment horizontal="center"/>
    </xf>
    <xf numFmtId="9" fontId="2" fillId="2" borderId="6" xfId="1" applyFont="1" applyFill="1" applyBorder="1" applyAlignment="1">
      <alignment horizontal="center"/>
    </xf>
    <xf numFmtId="9" fontId="2" fillId="2" borderId="7" xfId="1" applyFont="1" applyFill="1" applyBorder="1" applyAlignment="1">
      <alignment horizontal="center"/>
    </xf>
    <xf numFmtId="165" fontId="2" fillId="3" borderId="8" xfId="2" applyNumberFormat="1" applyFont="1" applyFill="1" applyBorder="1" applyAlignment="1">
      <alignment horizontal="center"/>
    </xf>
    <xf numFmtId="165" fontId="2" fillId="2" borderId="77" xfId="2" applyNumberFormat="1" applyFont="1" applyFill="1" applyBorder="1" applyAlignment="1">
      <alignment horizontal="center"/>
    </xf>
  </cellXfs>
  <cellStyles count="4">
    <cellStyle name="Normal" xfId="0" builtinId="0"/>
    <cellStyle name="Normal 2" xfId="2" xr:uid="{9231B1CA-C180-4818-8FB0-A4ECEFAEB0C8}"/>
    <cellStyle name="Normal 3" xfId="3" xr:uid="{EAA15C42-2D59-43C2-BB8F-334D14D43068}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Intra_Diretorias\419\Emissores\Companhias\1.2.%20Planilha%20de%20distribui&#231;&#245;es%20e%20ades&#245;es\Distribui&#231;&#245;es%20P&#250;blicas\Planilha%20completa\2025\Distribui&#231;&#245;es%20(04.2025).xlsx" TargetMode="External"/><Relationship Id="rId1" Type="http://schemas.openxmlformats.org/officeDocument/2006/relationships/externalLinkPath" Target="/Intra_Diretorias/419/Emissores/Companhias/1.2.%20Planilha%20de%20distribui&#231;&#245;es%20e%20ades&#245;es/Distribui&#231;&#245;es%20P&#250;blicas/Planilha%20completa/2025/Distribui&#231;&#245;es%20(04.202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e"/>
      <sheetName val="RESUMO (Uso Interno)"/>
      <sheetName val="SITE (Imprensa)_PT"/>
      <sheetName val="Listagem (Mensal)"/>
      <sheetName val="SITE (Imprensa)_ING"/>
      <sheetName val="Captações (Mensal)"/>
      <sheetName val="Relatório"/>
      <sheetName val="Tabela Dinâmica"/>
      <sheetName val="Segmentos (Mensal) (Vs. 2)"/>
      <sheetName val="Segmentos (Mensal) (Vs. 1)"/>
    </sheetNames>
    <sheetDataSet>
      <sheetData sheetId="0">
        <row r="531">
          <cell r="A531" t="str">
            <v>AZUL</v>
          </cell>
          <cell r="C531" t="str">
            <v>N2</v>
          </cell>
          <cell r="F531" t="str">
            <v>FOLLOW-ON</v>
          </cell>
          <cell r="J531">
            <v>45772</v>
          </cell>
          <cell r="M531" t="str">
            <v>UBS BB Corretora de Câmbio, Títulos e Valores Mobiliários S.A</v>
          </cell>
          <cell r="W531">
            <v>3.58</v>
          </cell>
          <cell r="X531">
            <v>45761</v>
          </cell>
          <cell r="AO531">
            <v>1661441659.4200001</v>
          </cell>
          <cell r="AP531">
            <v>0</v>
          </cell>
          <cell r="AQ531">
            <v>1661441659.4200001</v>
          </cell>
          <cell r="BL531">
            <v>68</v>
          </cell>
          <cell r="DZ531">
            <v>91</v>
          </cell>
          <cell r="ED531">
            <v>292286061.50625408</v>
          </cell>
          <cell r="EF531">
            <v>1.4611610261701714E-3</v>
          </cell>
          <cell r="EH531">
            <v>2.7329912574752306E-2</v>
          </cell>
          <cell r="EJ531">
            <v>1.9315225315346208E-5</v>
          </cell>
          <cell r="EL531">
            <v>0.97118961117376212</v>
          </cell>
          <cell r="EQ531" t="str">
            <v>Linhas Aéreas de Passageiros</v>
          </cell>
        </row>
      </sheetData>
      <sheetData sheetId="1"/>
      <sheetData sheetId="2">
        <row r="531">
          <cell r="K531">
            <v>68</v>
          </cell>
          <cell r="P531">
            <v>1.4611610261701714E-3</v>
          </cell>
          <cell r="Q531">
            <v>2.7329912574752306E-2</v>
          </cell>
          <cell r="R531">
            <v>1.9315225315346208E-5</v>
          </cell>
          <cell r="S531">
            <v>0.97118961117376212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31E20-68DF-4B6F-B47C-C3EE2753FB38}">
  <dimension ref="A1:X540"/>
  <sheetViews>
    <sheetView showGridLines="0" zoomScaleNormal="100" workbookViewId="0">
      <pane xSplit="2" ySplit="3" topLeftCell="H522" activePane="bottomRight" state="frozen"/>
      <selection activeCell="F268" sqref="F268"/>
      <selection pane="topRight" activeCell="F268" sqref="F268"/>
      <selection pane="bottomLeft" activeCell="F268" sqref="F268"/>
      <selection pane="bottomRight" activeCell="S535" sqref="S535"/>
    </sheetView>
  </sheetViews>
  <sheetFormatPr defaultColWidth="9.1796875" defaultRowHeight="14.5" x14ac:dyDescent="0.35"/>
  <cols>
    <col min="1" max="1" width="3.7265625" style="1" customWidth="1"/>
    <col min="2" max="2" width="22.7265625" style="1" bestFit="1" customWidth="1"/>
    <col min="3" max="3" width="28.81640625" style="2" customWidth="1"/>
    <col min="4" max="4" width="48.453125" style="2" customWidth="1"/>
    <col min="5" max="5" width="56.54296875" style="2" customWidth="1"/>
    <col min="6" max="6" width="20.81640625" style="2" bestFit="1" customWidth="1"/>
    <col min="7" max="7" width="25.54296875" style="2" bestFit="1" customWidth="1"/>
    <col min="8" max="9" width="17" style="2" customWidth="1"/>
    <col min="10" max="10" width="14.453125" style="3" customWidth="1"/>
    <col min="11" max="11" width="15.26953125" style="3" customWidth="1"/>
    <col min="12" max="12" width="16" style="4" customWidth="1"/>
    <col min="13" max="13" width="16.81640625" style="4" bestFit="1" customWidth="1"/>
    <col min="14" max="14" width="17.453125" style="4" customWidth="1"/>
    <col min="15" max="15" width="16.81640625" style="4" bestFit="1" customWidth="1"/>
    <col min="16" max="16" width="15.7265625" style="5" customWidth="1"/>
    <col min="17" max="17" width="18.453125" style="5" customWidth="1"/>
    <col min="18" max="18" width="19" style="5" customWidth="1"/>
    <col min="19" max="19" width="16.453125" style="5" customWidth="1"/>
    <col min="20" max="20" width="17.1796875" style="6" hidden="1" customWidth="1"/>
    <col min="21" max="21" width="0" style="1" hidden="1" customWidth="1"/>
    <col min="22" max="24" width="18.7265625" style="1" hidden="1" customWidth="1"/>
    <col min="25" max="16384" width="9.1796875" style="1"/>
  </cols>
  <sheetData>
    <row r="1" spans="2:24" ht="15" thickBot="1" x14ac:dyDescent="0.4"/>
    <row r="2" spans="2:24" ht="13.5" thickTop="1" x14ac:dyDescent="0.3">
      <c r="B2" s="286" t="s">
        <v>0</v>
      </c>
      <c r="C2" s="287"/>
      <c r="D2" s="288"/>
      <c r="E2" s="7"/>
      <c r="F2" s="289" t="s">
        <v>1</v>
      </c>
      <c r="G2" s="289"/>
      <c r="H2" s="289"/>
      <c r="I2" s="289"/>
      <c r="J2" s="289"/>
      <c r="K2" s="290" t="s">
        <v>2</v>
      </c>
      <c r="L2" s="291"/>
      <c r="M2" s="291"/>
      <c r="N2" s="291"/>
      <c r="O2" s="292"/>
      <c r="P2" s="293" t="s">
        <v>3</v>
      </c>
      <c r="Q2" s="293"/>
      <c r="R2" s="293"/>
      <c r="S2" s="294"/>
      <c r="U2" s="295" t="s">
        <v>4</v>
      </c>
      <c r="V2" s="295"/>
      <c r="W2" s="295"/>
      <c r="X2" s="295"/>
    </row>
    <row r="3" spans="2:24" s="17" customFormat="1" ht="43.5" customHeight="1" x14ac:dyDescent="0.25">
      <c r="B3" s="8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10" t="s">
        <v>11</v>
      </c>
      <c r="I3" s="10" t="s">
        <v>12</v>
      </c>
      <c r="J3" s="10" t="s">
        <v>13</v>
      </c>
      <c r="K3" s="10" t="s">
        <v>14</v>
      </c>
      <c r="L3" s="11" t="s">
        <v>15</v>
      </c>
      <c r="M3" s="11" t="s">
        <v>16</v>
      </c>
      <c r="N3" s="11" t="s">
        <v>17</v>
      </c>
      <c r="O3" s="12" t="s">
        <v>4</v>
      </c>
      <c r="P3" s="13" t="s">
        <v>18</v>
      </c>
      <c r="Q3" s="14" t="s">
        <v>19</v>
      </c>
      <c r="R3" s="14" t="s">
        <v>20</v>
      </c>
      <c r="S3" s="15" t="s">
        <v>21</v>
      </c>
      <c r="T3" s="6"/>
      <c r="U3" s="16" t="s">
        <v>22</v>
      </c>
      <c r="V3" s="16" t="s">
        <v>23</v>
      </c>
      <c r="W3" s="16" t="s">
        <v>24</v>
      </c>
      <c r="X3" s="16" t="s">
        <v>25</v>
      </c>
    </row>
    <row r="4" spans="2:24" s="17" customFormat="1" ht="13" x14ac:dyDescent="0.3">
      <c r="B4" s="18" t="s">
        <v>178</v>
      </c>
      <c r="C4" s="19" t="s">
        <v>179</v>
      </c>
      <c r="D4" s="19" t="s">
        <v>578</v>
      </c>
      <c r="E4" s="19" t="s">
        <v>180</v>
      </c>
      <c r="F4" s="19" t="s">
        <v>24</v>
      </c>
      <c r="G4" s="19" t="s">
        <v>181</v>
      </c>
      <c r="H4" s="20">
        <v>38103</v>
      </c>
      <c r="I4" s="21">
        <v>23.5</v>
      </c>
      <c r="J4" s="22">
        <v>38104</v>
      </c>
      <c r="K4" s="23">
        <v>1010</v>
      </c>
      <c r="L4" s="23">
        <v>1514</v>
      </c>
      <c r="M4" s="24">
        <v>375000004.5</v>
      </c>
      <c r="N4" s="24">
        <v>0</v>
      </c>
      <c r="O4" s="25">
        <v>375000004.5</v>
      </c>
      <c r="P4" s="26">
        <v>6.8671824509271437E-2</v>
      </c>
      <c r="Q4" s="26">
        <v>0.17572134189134389</v>
      </c>
      <c r="R4" s="26">
        <v>0.74824324968774769</v>
      </c>
      <c r="S4" s="27">
        <v>7.3635839116369933E-3</v>
      </c>
      <c r="T4" s="6"/>
      <c r="U4" s="28">
        <v>2004</v>
      </c>
      <c r="V4" s="24">
        <f>SUMIFS($O$4:$O$235,$F$4:$F$235,"IPO",$J$4:$J$235,"&gt;=01/01/2004",$J$4:$J$235,"&lt;=31/12/2004")</f>
        <v>4487065024.3099995</v>
      </c>
      <c r="W4" s="24">
        <f>SUMIFS($O$4:$O$235,$F$4:$F$235,"FOLLOW-ON",$J$4:$J$235,"&gt;=01/01/2004",$J$4:$J$235,"&lt;=31/12/2004")</f>
        <v>4317579321.8213902</v>
      </c>
      <c r="X4" s="29">
        <f>SUMIFS($O$4:$O$235,$J$4:$J$235,"&gt;=01/01/2004",$J$4:$J$235,"&lt;=31/12/2004")</f>
        <v>8804644346.1313896</v>
      </c>
    </row>
    <row r="5" spans="2:24" ht="13" x14ac:dyDescent="0.3">
      <c r="B5" s="18" t="s">
        <v>182</v>
      </c>
      <c r="C5" s="19" t="s">
        <v>179</v>
      </c>
      <c r="D5" s="19" t="s">
        <v>579</v>
      </c>
      <c r="E5" s="19" t="s">
        <v>180</v>
      </c>
      <c r="F5" s="19" t="s">
        <v>23</v>
      </c>
      <c r="G5" s="19" t="s">
        <v>181</v>
      </c>
      <c r="H5" s="20">
        <v>38131</v>
      </c>
      <c r="I5" s="21">
        <v>36.5</v>
      </c>
      <c r="J5" s="22">
        <v>38133</v>
      </c>
      <c r="K5" s="23">
        <v>4376</v>
      </c>
      <c r="L5" s="23">
        <v>5460</v>
      </c>
      <c r="M5" s="24">
        <v>0</v>
      </c>
      <c r="N5" s="24">
        <v>768120636.5</v>
      </c>
      <c r="O5" s="25">
        <v>768120636.5</v>
      </c>
      <c r="P5" s="26">
        <v>0.14086611445961328</v>
      </c>
      <c r="Q5" s="26">
        <v>0.15132485833167691</v>
      </c>
      <c r="R5" s="26">
        <v>0.67230899088075735</v>
      </c>
      <c r="S5" s="27">
        <v>3.5500036327952504E-2</v>
      </c>
      <c r="U5" s="28">
        <v>2005</v>
      </c>
      <c r="V5" s="24">
        <f>SUMIFS($O$4:$O$235,$F$4:$F$235,"IPO",$J$4:$J$235,"&gt;=01/01/2005",$J$4:$J$235,"&lt;=31/12/2005")</f>
        <v>5447335659.5</v>
      </c>
      <c r="W5" s="24">
        <f>SUMIFS($O$4:$O$235,$F$4:$F$235,"FOLLOW-ON",$J$4:$J$235,"&gt;=01/01/2005",$J$4:$J$235,"&lt;=31/12/2005")</f>
        <v>8488868795.0285006</v>
      </c>
      <c r="X5" s="29">
        <f>SUMIFS($O$4:$O$235,$J$4:$J$235,"&gt;=01/01/2005",$J$4:$J$235,"&lt;=31/12/2005")</f>
        <v>13936204454.5285</v>
      </c>
    </row>
    <row r="6" spans="2:24" ht="13" x14ac:dyDescent="0.3">
      <c r="B6" s="18" t="s">
        <v>183</v>
      </c>
      <c r="C6" s="19" t="s">
        <v>184</v>
      </c>
      <c r="D6" s="19" t="s">
        <v>580</v>
      </c>
      <c r="E6" s="19" t="s">
        <v>185</v>
      </c>
      <c r="F6" s="19" t="s">
        <v>23</v>
      </c>
      <c r="G6" s="19" t="s">
        <v>181</v>
      </c>
      <c r="H6" s="20">
        <v>38161</v>
      </c>
      <c r="I6" s="21">
        <v>26.57</v>
      </c>
      <c r="J6" s="22">
        <v>38162</v>
      </c>
      <c r="K6" s="23">
        <v>11274</v>
      </c>
      <c r="L6" s="23">
        <v>12380</v>
      </c>
      <c r="M6" s="24">
        <v>498187500</v>
      </c>
      <c r="N6" s="24">
        <v>379951000</v>
      </c>
      <c r="O6" s="25">
        <v>878138500</v>
      </c>
      <c r="P6" s="26">
        <v>0.10416096822995462</v>
      </c>
      <c r="Q6" s="26">
        <v>0.13028732223903178</v>
      </c>
      <c r="R6" s="26">
        <v>0.75367177004538577</v>
      </c>
      <c r="S6" s="27">
        <v>1.1879939485627837E-2</v>
      </c>
      <c r="U6" s="28">
        <v>2006</v>
      </c>
      <c r="V6" s="24">
        <f>SUMIFS($O$4:$O$235,$F$4:$F$235,"IPO",$J$4:$J$235,"&gt;=01/01/2006",$J$4:$J$235,"&lt;=31/12/2006")</f>
        <v>15373613634.299999</v>
      </c>
      <c r="W6" s="24">
        <f>SUMIFS($O$4:$O$235,$F$4:$F$235,"FOLLOW-ON",$J$4:$J$235,"&gt;=01/01/2006",$J$4:$J$235,"&lt;=31/12/2006")</f>
        <v>15062683257.9795</v>
      </c>
      <c r="X6" s="29">
        <f>SUMIFS($O$4:$O$235,$J$4:$J$235,"&gt;=01/01/2006",$J$4:$J$235,"&lt;=31/12/2006")</f>
        <v>30436296892.279499</v>
      </c>
    </row>
    <row r="7" spans="2:24" ht="13" x14ac:dyDescent="0.3">
      <c r="B7" s="18" t="s">
        <v>186</v>
      </c>
      <c r="C7" s="19" t="s">
        <v>184</v>
      </c>
      <c r="D7" s="19" t="s">
        <v>581</v>
      </c>
      <c r="E7" s="19" t="s">
        <v>187</v>
      </c>
      <c r="F7" s="19" t="s">
        <v>23</v>
      </c>
      <c r="G7" s="19" t="s">
        <v>181</v>
      </c>
      <c r="H7" s="20">
        <v>38161</v>
      </c>
      <c r="I7" s="21">
        <v>46.5</v>
      </c>
      <c r="J7" s="22">
        <v>38163</v>
      </c>
      <c r="K7" s="23">
        <v>3275</v>
      </c>
      <c r="L7" s="23">
        <v>4198</v>
      </c>
      <c r="M7" s="24">
        <v>267375000</v>
      </c>
      <c r="N7" s="24">
        <v>320850000</v>
      </c>
      <c r="O7" s="25">
        <v>588225000</v>
      </c>
      <c r="P7" s="26">
        <v>8.1711383399209483E-2</v>
      </c>
      <c r="Q7" s="26">
        <v>0.19502276679841898</v>
      </c>
      <c r="R7" s="26">
        <v>0.70870671936758889</v>
      </c>
      <c r="S7" s="27">
        <v>1.4559130434782609E-2</v>
      </c>
      <c r="U7" s="28">
        <v>2007</v>
      </c>
      <c r="V7" s="24">
        <f>SUMIFS($O$4:$O$235,$F$4:$F$235,"IPO",$J$4:$J$235,"&gt;=01/01/2007",$J$4:$J$235,"&lt;=31/12/2007")</f>
        <v>55648186084.869995</v>
      </c>
      <c r="W7" s="24">
        <f>SUMIFS($O$4:$O$235,$F$4:$F$235,"FOLLOW-ON",$J$4:$J$235,"&gt;=01/01/2007",$J$4:$J$235,"&lt;=31/12/2007")</f>
        <v>14464732432.85</v>
      </c>
      <c r="X7" s="29">
        <f>SUMIFS($O$4:$O$235,$J$4:$J$235,"&gt;=01/01/2007",$J$4:$J$235,"&lt;=31/12/2007")</f>
        <v>70112918517.720001</v>
      </c>
    </row>
    <row r="8" spans="2:24" ht="13" x14ac:dyDescent="0.3">
      <c r="B8" s="18" t="s">
        <v>188</v>
      </c>
      <c r="C8" s="19" t="s">
        <v>189</v>
      </c>
      <c r="D8" s="19" t="s">
        <v>582</v>
      </c>
      <c r="E8" s="19" t="s">
        <v>190</v>
      </c>
      <c r="F8" s="19" t="s">
        <v>24</v>
      </c>
      <c r="G8" s="19" t="s">
        <v>181</v>
      </c>
      <c r="H8" s="20">
        <v>38233</v>
      </c>
      <c r="I8" s="21">
        <v>7.2</v>
      </c>
      <c r="J8" s="22">
        <v>38236</v>
      </c>
      <c r="K8" s="23">
        <v>5130</v>
      </c>
      <c r="L8" s="23">
        <v>5708</v>
      </c>
      <c r="M8" s="24">
        <v>0</v>
      </c>
      <c r="N8" s="24">
        <v>319384800</v>
      </c>
      <c r="O8" s="25">
        <v>319384800</v>
      </c>
      <c r="P8" s="26">
        <v>0.30075378164521294</v>
      </c>
      <c r="Q8" s="26">
        <v>0.23810974097702833</v>
      </c>
      <c r="R8" s="26">
        <v>0.40659325052413264</v>
      </c>
      <c r="S8" s="27">
        <v>5.4543226853626101E-2</v>
      </c>
      <c r="U8" s="28">
        <v>2008</v>
      </c>
      <c r="V8" s="24">
        <f>SUMIFS($O$4:$O$235,$F$4:$F$235,"IPO",$J$4:$J$235,"&gt;=01/01/2008",$J$4:$J$235,"&lt;=31/12/2008")</f>
        <v>7494941362</v>
      </c>
      <c r="W8" s="24">
        <f>SUMIFS($O$4:$O$235,$F$4:$F$235,"FOLLOW-ON",$J$4:$J$235,"&gt;=01/01/2008",$J$4:$J$235,"&lt;=31/12/2008")</f>
        <v>26760549835.43</v>
      </c>
      <c r="X8" s="29">
        <f>SUMIFS($O$4:$O$235,$J$4:$J$235,"&gt;=01/01/2008",$J$4:$J$235,"&lt;=31/12/2008")</f>
        <v>34255491197.43</v>
      </c>
    </row>
    <row r="9" spans="2:24" ht="13" x14ac:dyDescent="0.3">
      <c r="B9" s="18" t="s">
        <v>191</v>
      </c>
      <c r="C9" s="19" t="s">
        <v>189</v>
      </c>
      <c r="D9" s="19" t="s">
        <v>583</v>
      </c>
      <c r="E9" s="19" t="s">
        <v>192</v>
      </c>
      <c r="F9" s="19" t="s">
        <v>24</v>
      </c>
      <c r="G9" s="19" t="s">
        <v>181</v>
      </c>
      <c r="H9" s="20">
        <v>38252</v>
      </c>
      <c r="I9" s="21">
        <v>0.09</v>
      </c>
      <c r="J9" s="22">
        <v>38254</v>
      </c>
      <c r="K9" s="23">
        <v>2287</v>
      </c>
      <c r="L9" s="23">
        <v>2737</v>
      </c>
      <c r="M9" s="24">
        <v>1210950000</v>
      </c>
      <c r="N9" s="24">
        <v>0</v>
      </c>
      <c r="O9" s="25">
        <v>1210950000</v>
      </c>
      <c r="P9" s="26">
        <v>5.2678683013820775E-2</v>
      </c>
      <c r="Q9" s="26">
        <v>0.20504084499925693</v>
      </c>
      <c r="R9" s="26">
        <v>0.73642744776341207</v>
      </c>
      <c r="S9" s="27">
        <v>5.8530242235101801E-3</v>
      </c>
      <c r="U9" s="28">
        <v>2009</v>
      </c>
      <c r="V9" s="24">
        <f>SUMIFS($O$4:$O$235,$F$4:$F$235,"IPO",$J$4:$J$235,"&gt;=01/01/2009",$J$4:$J$235,"&lt;=31/12/2009")</f>
        <v>23831458391</v>
      </c>
      <c r="W9" s="24">
        <f>SUMIFS($O$4:$O$235,$F$4:$F$235,"FOLLOW-ON",$J$4:$J$235,"&gt;=01/01/2009",$J$4:$J$235,"&lt;=31/12/2009")</f>
        <v>22151816326.5</v>
      </c>
      <c r="X9" s="29">
        <f>SUMIFS($O$4:$O$235,$J$4:$J$235,"&gt;=01/01/2009",$J$4:$J$235,"&lt;=31/12/2009")</f>
        <v>45983274717.5</v>
      </c>
    </row>
    <row r="10" spans="2:24" ht="13" x14ac:dyDescent="0.3">
      <c r="B10" s="18" t="s">
        <v>193</v>
      </c>
      <c r="C10" s="19" t="s">
        <v>179</v>
      </c>
      <c r="D10" s="19" t="s">
        <v>584</v>
      </c>
      <c r="E10" s="19" t="s">
        <v>194</v>
      </c>
      <c r="F10" s="19" t="s">
        <v>23</v>
      </c>
      <c r="G10" s="19" t="s">
        <v>181</v>
      </c>
      <c r="H10" s="20">
        <v>38258</v>
      </c>
      <c r="I10" s="21">
        <v>17.22</v>
      </c>
      <c r="J10" s="22">
        <v>38259</v>
      </c>
      <c r="K10" s="23">
        <v>2661</v>
      </c>
      <c r="L10" s="23">
        <v>3271</v>
      </c>
      <c r="M10" s="24">
        <v>684649515.05999994</v>
      </c>
      <c r="N10" s="24">
        <v>136312659</v>
      </c>
      <c r="O10" s="25">
        <v>820962174.05999994</v>
      </c>
      <c r="P10" s="26">
        <v>7.2085297337554172E-2</v>
      </c>
      <c r="Q10" s="26">
        <v>0.22446591051652037</v>
      </c>
      <c r="R10" s="26">
        <v>0.69388879768091083</v>
      </c>
      <c r="S10" s="27">
        <v>9.5599944650146575E-3</v>
      </c>
      <c r="U10" s="28">
        <v>2010</v>
      </c>
      <c r="V10" s="24">
        <f>SUMIFS($O$4:$O$235,$F$4:$F$235,"IPO",$J$4:$J$235,"&gt;=01/01/2010",$J$4:$J$235,"&lt;=31/12/2010")</f>
        <v>11193373737.5</v>
      </c>
      <c r="W10" s="24">
        <f>SUMIFS($O$4:$O$235,$F$4:$F$235,"FOLLOW-ON",$J$4:$J$235,"&gt;=01/01/2010",$J$4:$J$235,"&lt;=31/12/2010")</f>
        <v>138047959151.79999</v>
      </c>
      <c r="X10" s="29">
        <f>SUMIFS($O$4:$O$235,$J$4:$J$235,"&gt;=01/01/2010",$J$4:$J$235,"&lt;=31/12/2010")</f>
        <v>149241332889.29999</v>
      </c>
    </row>
    <row r="11" spans="2:24" ht="13" x14ac:dyDescent="0.3">
      <c r="B11" s="18" t="s">
        <v>195</v>
      </c>
      <c r="C11" s="19" t="s">
        <v>179</v>
      </c>
      <c r="D11" s="19" t="s">
        <v>585</v>
      </c>
      <c r="E11" s="19" t="s">
        <v>187</v>
      </c>
      <c r="F11" s="19" t="s">
        <v>23</v>
      </c>
      <c r="G11" s="19" t="s">
        <v>181</v>
      </c>
      <c r="H11" s="20">
        <v>38287</v>
      </c>
      <c r="I11" s="21">
        <v>31</v>
      </c>
      <c r="J11" s="22">
        <v>38289</v>
      </c>
      <c r="K11" s="23">
        <v>7745</v>
      </c>
      <c r="L11" s="23">
        <v>8998</v>
      </c>
      <c r="M11" s="24">
        <v>0</v>
      </c>
      <c r="N11" s="24">
        <v>616900000</v>
      </c>
      <c r="O11" s="25">
        <v>616900000</v>
      </c>
      <c r="P11" s="26">
        <v>0.16245688442211056</v>
      </c>
      <c r="Q11" s="26">
        <v>0.18904427135678392</v>
      </c>
      <c r="R11" s="26">
        <v>0.63814226130653262</v>
      </c>
      <c r="S11" s="27">
        <v>1.0356582914572865E-2</v>
      </c>
      <c r="U11" s="28">
        <v>2011</v>
      </c>
      <c r="V11" s="24">
        <f>SUMIFS($O$4:$O$235,$F$4:$F$235,"IPO",$J$4:$J$235,"&gt;=01/01/2011",$J$4:$J$235,"&lt;=31/12/2011")</f>
        <v>7175095457</v>
      </c>
      <c r="W11" s="24">
        <f>SUMIFS($O$4:$O$235,$F$4:$F$235,"FOLLOW-ON",$J$4:$J$235,"&gt;=01/01/2011",$J$4:$J$235,"&lt;=31/12/2011")</f>
        <v>10814789923.299999</v>
      </c>
      <c r="X11" s="29">
        <f>SUMIFS($O$4:$O$235,$J$4:$J$235,"&gt;=01/01/2011",$J$4:$J$235,"&lt;=31/12/2011")</f>
        <v>17989885380.299999</v>
      </c>
    </row>
    <row r="12" spans="2:24" ht="13" x14ac:dyDescent="0.3">
      <c r="B12" s="18" t="s">
        <v>196</v>
      </c>
      <c r="C12" s="19" t="s">
        <v>179</v>
      </c>
      <c r="D12" s="19" t="s">
        <v>586</v>
      </c>
      <c r="E12" s="19" t="s">
        <v>192</v>
      </c>
      <c r="F12" s="19" t="s">
        <v>24</v>
      </c>
      <c r="G12" s="19" t="s">
        <v>181</v>
      </c>
      <c r="H12" s="20">
        <v>38288</v>
      </c>
      <c r="I12" s="21">
        <v>0.11347</v>
      </c>
      <c r="J12" s="22">
        <v>38289</v>
      </c>
      <c r="K12" s="23">
        <v>89</v>
      </c>
      <c r="L12" s="23">
        <v>361</v>
      </c>
      <c r="M12" s="24">
        <v>0</v>
      </c>
      <c r="N12" s="24">
        <v>687986984.99139011</v>
      </c>
      <c r="O12" s="25">
        <v>687986984.99139011</v>
      </c>
      <c r="P12" s="26">
        <v>1.1300088586105003E-2</v>
      </c>
      <c r="Q12" s="26">
        <v>0.17209472464070194</v>
      </c>
      <c r="R12" s="26">
        <v>0.81335375308152524</v>
      </c>
      <c r="S12" s="27">
        <v>3.251433691667866E-3</v>
      </c>
      <c r="U12" s="28">
        <v>2012</v>
      </c>
      <c r="V12" s="24">
        <f>SUMIFS($O$4:$O$1531,$F$4:$F$1531,"IPO",$J$4:$J$1531,"&gt;=01/01/2012",$J$4:$J$1531,"&lt;=31/12/2012")</f>
        <v>3932950736</v>
      </c>
      <c r="W12" s="24">
        <f>SUMIFS($O$4:$O$1531,$F$4:$F$1531,"FOLLOW-ON",$J$4:$J$1531,"&gt;=01/01/2012",$J$4:$J$1531,"&lt;=31/12/2012")</f>
        <v>9307533492</v>
      </c>
      <c r="X12" s="29">
        <f>SUMIFS($O$4:$O$1531,$J$4:$J$1531,"&gt;=01/01/2012",$J$4:$J$1531,"&lt;=31/12/2012")</f>
        <v>13240484228</v>
      </c>
    </row>
    <row r="13" spans="2:24" ht="13" x14ac:dyDescent="0.3">
      <c r="B13" s="18" t="s">
        <v>197</v>
      </c>
      <c r="C13" s="19" t="s">
        <v>179</v>
      </c>
      <c r="D13" s="19" t="s">
        <v>587</v>
      </c>
      <c r="E13" s="19" t="s">
        <v>180</v>
      </c>
      <c r="F13" s="19" t="s">
        <v>23</v>
      </c>
      <c r="G13" s="19" t="s">
        <v>181</v>
      </c>
      <c r="H13" s="20">
        <v>38308</v>
      </c>
      <c r="I13" s="21">
        <v>20</v>
      </c>
      <c r="J13" s="22">
        <v>38310</v>
      </c>
      <c r="K13" s="23">
        <v>2815</v>
      </c>
      <c r="L13" s="23">
        <v>3482</v>
      </c>
      <c r="M13" s="24">
        <v>126136300</v>
      </c>
      <c r="N13" s="24">
        <v>311247720</v>
      </c>
      <c r="O13" s="25">
        <v>437384020</v>
      </c>
      <c r="P13" s="26">
        <v>8.7210273480041636E-2</v>
      </c>
      <c r="Q13" s="26">
        <v>0.22275427437883991</v>
      </c>
      <c r="R13" s="26">
        <v>0.68241784416357965</v>
      </c>
      <c r="S13" s="27">
        <v>7.6176079775388227E-3</v>
      </c>
      <c r="U13" s="28">
        <v>2013</v>
      </c>
      <c r="V13" s="24">
        <f>SUMIFS($O$4:$O$1531,$F$4:$F$1531,"IPO",$J$4:$J$1531,"&gt;=01/01/2013",$J$4:$J$1531,"&lt;=31/12/2013")</f>
        <v>17293349990.309998</v>
      </c>
      <c r="W13" s="24">
        <f>SUMIFS($O$4:$O$1531,$F$4:$F$1531,"FOLLOW-ON",$J$4:$J$1531,"&gt;=01/01/2013",$J$4:$J$1531,"&lt;=31/12/2013")</f>
        <v>6066116253</v>
      </c>
      <c r="X13" s="29">
        <f>SUMIFS($O$4:$O$1531,$J$4:$J$1531,"&gt;=01/01/2013",$J$4:$J$1531,"&lt;=31/12/2013")</f>
        <v>23359466243.310001</v>
      </c>
    </row>
    <row r="14" spans="2:24" ht="13" x14ac:dyDescent="0.3">
      <c r="B14" s="18" t="s">
        <v>198</v>
      </c>
      <c r="C14" s="19" t="s">
        <v>179</v>
      </c>
      <c r="D14" s="19" t="s">
        <v>588</v>
      </c>
      <c r="E14" s="19" t="s">
        <v>187</v>
      </c>
      <c r="F14" s="19" t="s">
        <v>23</v>
      </c>
      <c r="G14" s="19" t="s">
        <v>181</v>
      </c>
      <c r="H14" s="20">
        <v>38309</v>
      </c>
      <c r="I14" s="21">
        <v>18.75</v>
      </c>
      <c r="J14" s="22">
        <v>38313</v>
      </c>
      <c r="K14" s="23">
        <v>5757</v>
      </c>
      <c r="L14" s="23">
        <v>6499</v>
      </c>
      <c r="M14" s="24">
        <v>129022800</v>
      </c>
      <c r="N14" s="24">
        <v>248311893.75</v>
      </c>
      <c r="O14" s="25">
        <v>377334693.75</v>
      </c>
      <c r="P14" s="26">
        <v>7.9173726256386676E-2</v>
      </c>
      <c r="Q14" s="26">
        <v>0.18708473848092852</v>
      </c>
      <c r="R14" s="26">
        <v>0.7137786710607763</v>
      </c>
      <c r="S14" s="27">
        <v>1.9962864201908549E-2</v>
      </c>
      <c r="U14" s="28">
        <v>2014</v>
      </c>
      <c r="V14" s="24">
        <f>SUMIFS($O$4:$O$1531,$F$4:$F$1531,"IPO",$J$4:$J$1531,"&gt;=01/01/2014",$J$4:$J$1531,"&lt;=31/12/2014")</f>
        <v>417980763</v>
      </c>
      <c r="W14" s="24">
        <f>SUMIFS($O$4:$O$1531,$F$4:$F$1531,"FOLLOW-ON",$J$4:$J$1531,"&gt;=01/01/2014",$J$4:$J$1531,"&lt;=31/12/2014")</f>
        <v>13959899998.896816</v>
      </c>
      <c r="X14" s="29">
        <f>SUMIFS($O$4:$O$1531,$J$4:$J$1531,"&gt;=01/01/2014",$J$4:$J$1531,"&lt;=31/12/2014")</f>
        <v>14377880761.896816</v>
      </c>
    </row>
    <row r="15" spans="2:24" ht="13" x14ac:dyDescent="0.3">
      <c r="B15" s="18" t="s">
        <v>199</v>
      </c>
      <c r="C15" s="19" t="s">
        <v>189</v>
      </c>
      <c r="D15" s="19" t="s">
        <v>589</v>
      </c>
      <c r="E15" s="19" t="s">
        <v>187</v>
      </c>
      <c r="F15" s="19" t="s">
        <v>24</v>
      </c>
      <c r="G15" s="19" t="s">
        <v>181</v>
      </c>
      <c r="H15" s="20">
        <v>38330</v>
      </c>
      <c r="I15" s="21">
        <v>40.00111342111633</v>
      </c>
      <c r="J15" s="22">
        <v>38330</v>
      </c>
      <c r="K15" s="23">
        <v>169</v>
      </c>
      <c r="L15" s="23">
        <v>250</v>
      </c>
      <c r="M15" s="24">
        <v>0</v>
      </c>
      <c r="N15" s="24">
        <v>412805170.32999998</v>
      </c>
      <c r="O15" s="25">
        <v>412805170.32999998</v>
      </c>
      <c r="P15" s="26">
        <v>4.8351127856414856E-2</v>
      </c>
      <c r="Q15" s="26">
        <v>0.13896637177197091</v>
      </c>
      <c r="R15" s="26">
        <v>0.78504903466545317</v>
      </c>
      <c r="S15" s="27">
        <v>2.7633465706161008E-2</v>
      </c>
      <c r="U15" s="28">
        <v>2015</v>
      </c>
      <c r="V15" s="24">
        <f>SUMIFS($O$4:$O$1531,$F$4:$F$1531,"IPO",$J$4:$J$1531,"&gt;=01/01/2015",$J$4:$J$1531,"&lt;=31/12/2015")</f>
        <v>602800013.70000005</v>
      </c>
      <c r="W15" s="24">
        <f>SUMIFS($O$4:$O$1531,$F$4:$F$1531,"FOLLOW-ON",$J$4:$J$1531,"&gt;=01/01/2015",$J$4:$J$1531,"&lt;=31/12/2015")</f>
        <v>17461217464.799999</v>
      </c>
      <c r="X15" s="29">
        <f>SUMIFS($O$4:$O$1531,$J$4:$J$1531,"&gt;=01/01/2015",$J$4:$J$1531,"&lt;=31/12/2015")</f>
        <v>18064017478.5</v>
      </c>
    </row>
    <row r="16" spans="2:24" ht="13" x14ac:dyDescent="0.3">
      <c r="B16" s="18" t="s">
        <v>200</v>
      </c>
      <c r="C16" s="19" t="s">
        <v>189</v>
      </c>
      <c r="D16" s="19" t="s">
        <v>589</v>
      </c>
      <c r="E16" s="19" t="s">
        <v>187</v>
      </c>
      <c r="F16" s="19" t="s">
        <v>24</v>
      </c>
      <c r="G16" s="19" t="s">
        <v>181</v>
      </c>
      <c r="H16" s="20">
        <v>38330</v>
      </c>
      <c r="I16" s="21">
        <v>55</v>
      </c>
      <c r="J16" s="22">
        <v>38330</v>
      </c>
      <c r="K16" s="23">
        <v>66</v>
      </c>
      <c r="L16" s="23">
        <v>119</v>
      </c>
      <c r="M16" s="24">
        <v>0</v>
      </c>
      <c r="N16" s="24">
        <v>88266090</v>
      </c>
      <c r="O16" s="25">
        <v>88266090</v>
      </c>
      <c r="P16" s="26">
        <v>0.12963177591756925</v>
      </c>
      <c r="Q16" s="26">
        <v>0.52802837420350213</v>
      </c>
      <c r="R16" s="26">
        <v>0.28401620599711624</v>
      </c>
      <c r="S16" s="27">
        <v>5.8323643881812368E-2</v>
      </c>
      <c r="U16" s="28">
        <v>2016</v>
      </c>
      <c r="V16" s="24">
        <f>SUMIFS($O$4:$O$1531,$F$4:$F$1531,"IPO",$J$4:$J$1531,"&gt;=01/01/2016",$J$4:$J$1531,"&lt;=31/12/2016")</f>
        <v>674197600</v>
      </c>
      <c r="W16" s="24">
        <f>SUMIFS($O$4:$O$1531,$F$4:$F$1531,"FOLLOW-ON",$J$4:$J$1531,"&gt;=01/01/2016",$J$4:$J$1531,"&lt;=31/12/2016")</f>
        <v>9966649297.9599991</v>
      </c>
      <c r="X16" s="29">
        <f>SUMIFS($O$4:$O$1531,$J$4:$J$1531,"&gt;=01/01/2016",$J$4:$J$1531,"&lt;=31/12/2016")</f>
        <v>10640846897.959999</v>
      </c>
    </row>
    <row r="17" spans="2:24" ht="13" x14ac:dyDescent="0.3">
      <c r="B17" s="18" t="s">
        <v>201</v>
      </c>
      <c r="C17" s="19" t="s">
        <v>189</v>
      </c>
      <c r="D17" s="19" t="s">
        <v>590</v>
      </c>
      <c r="E17" s="19" t="s">
        <v>202</v>
      </c>
      <c r="F17" s="19" t="s">
        <v>24</v>
      </c>
      <c r="G17" s="19" t="s">
        <v>181</v>
      </c>
      <c r="H17" s="20">
        <v>38335</v>
      </c>
      <c r="I17" s="21">
        <v>77</v>
      </c>
      <c r="J17" s="22">
        <v>38336</v>
      </c>
      <c r="K17" s="23">
        <v>315</v>
      </c>
      <c r="L17" s="23">
        <v>737</v>
      </c>
      <c r="M17" s="24">
        <v>1044546272</v>
      </c>
      <c r="N17" s="24">
        <v>0</v>
      </c>
      <c r="O17" s="25">
        <v>1044546272</v>
      </c>
      <c r="P17" s="26">
        <v>3.2629599007366901E-2</v>
      </c>
      <c r="Q17" s="26">
        <v>0.15792991887677715</v>
      </c>
      <c r="R17" s="26">
        <v>0.66331297193122341</v>
      </c>
      <c r="S17" s="27">
        <v>0.14612751018463258</v>
      </c>
      <c r="U17" s="28">
        <v>2017</v>
      </c>
      <c r="V17" s="24">
        <f>SUMIFS($O$4:$O$1531,$F$4:$F$1531,"IPO",$J$4:$J$1531,"&gt;=01/01/2017",$J$4:$J$1531,"&lt;=31/12/2017")</f>
        <v>20760529289</v>
      </c>
      <c r="W17" s="24">
        <f>SUMIFS($O$4:$O$1531,$F$4:$F$1531,"FOLLOW-ON",$J$4:$J$1531,"&gt;=01/01/2017",$J$4:$J$1531,"&lt;=31/12/2017")</f>
        <v>21020386287.610001</v>
      </c>
      <c r="X17" s="29">
        <f>SUMIFS($O$4:$O$1531,$J$4:$J$1531,"&gt;=01/01/2017",$J$4:$J$1531,"&lt;=31/12/2017")</f>
        <v>41780915576.610008</v>
      </c>
    </row>
    <row r="18" spans="2:24" ht="13.5" thickBot="1" x14ac:dyDescent="0.35">
      <c r="B18" s="30" t="s">
        <v>203</v>
      </c>
      <c r="C18" s="31" t="s">
        <v>184</v>
      </c>
      <c r="D18" s="31" t="s">
        <v>583</v>
      </c>
      <c r="E18" s="31" t="s">
        <v>204</v>
      </c>
      <c r="F18" s="31" t="s">
        <v>24</v>
      </c>
      <c r="G18" s="31" t="s">
        <v>181</v>
      </c>
      <c r="H18" s="32">
        <v>38337</v>
      </c>
      <c r="I18" s="33">
        <v>5.8</v>
      </c>
      <c r="J18" s="34">
        <v>38338</v>
      </c>
      <c r="K18" s="35">
        <v>4680</v>
      </c>
      <c r="L18" s="35">
        <v>5284</v>
      </c>
      <c r="M18" s="36">
        <v>31900000</v>
      </c>
      <c r="N18" s="36">
        <v>146740000</v>
      </c>
      <c r="O18" s="37">
        <v>178640000</v>
      </c>
      <c r="P18" s="38">
        <v>0.17821548701298703</v>
      </c>
      <c r="Q18" s="38">
        <v>0.45734454545454545</v>
      </c>
      <c r="R18" s="38">
        <v>0.35107967532467532</v>
      </c>
      <c r="S18" s="39">
        <v>1.3360292207792208E-2</v>
      </c>
      <c r="U18" s="28">
        <v>2018</v>
      </c>
      <c r="V18" s="24">
        <f>SUMIFS($O$4:$O$1531,$F$4:$F$1531,"IPO",$J$4:$J$1531,"&gt;=01/01/2018",$J$4:$J$1531,"&lt;=31/12/2018")</f>
        <v>6823344094.5</v>
      </c>
      <c r="W18" s="24">
        <f>SUMIFS($O$4:$O$1531,$F$4:$F$1531,"FOLLOW-ON",$J$4:$J$1531,"&gt;=01/01/2018",$J$4:$J$1531,"&lt;=31/12/2018")</f>
        <v>4429700000</v>
      </c>
      <c r="X18" s="29">
        <f>SUMIFS($O$4:$O$1531,$J$4:$J$1531,"&gt;=01/01/2018",$J$4:$J$1531,"&lt;=31/12/2018")</f>
        <v>11253044094.5</v>
      </c>
    </row>
    <row r="19" spans="2:24" ht="13.5" thickTop="1" x14ac:dyDescent="0.3">
      <c r="B19" s="40" t="s">
        <v>205</v>
      </c>
      <c r="C19" s="41" t="s">
        <v>189</v>
      </c>
      <c r="D19" s="41" t="s">
        <v>591</v>
      </c>
      <c r="E19" s="41" t="s">
        <v>192</v>
      </c>
      <c r="F19" s="41" t="s">
        <v>24</v>
      </c>
      <c r="G19" s="41" t="s">
        <v>181</v>
      </c>
      <c r="H19" s="42">
        <v>38383</v>
      </c>
      <c r="I19" s="43">
        <v>15.65</v>
      </c>
      <c r="J19" s="44">
        <v>38383</v>
      </c>
      <c r="K19" s="45">
        <v>1402</v>
      </c>
      <c r="L19" s="45">
        <v>2064</v>
      </c>
      <c r="M19" s="46">
        <v>0</v>
      </c>
      <c r="N19" s="46">
        <v>718294106.54999995</v>
      </c>
      <c r="O19" s="47">
        <v>718294106.54999995</v>
      </c>
      <c r="P19" s="48">
        <v>8.6912289799852868E-2</v>
      </c>
      <c r="Q19" s="48">
        <v>0.32188932672790277</v>
      </c>
      <c r="R19" s="48">
        <v>0.56771033610257593</v>
      </c>
      <c r="S19" s="49">
        <v>2.3488047369668339E-2</v>
      </c>
      <c r="U19" s="28">
        <v>2019</v>
      </c>
      <c r="V19" s="24">
        <f>SUMIFS($O$4:$O$1531,$F$4:$F$1531,"IPO",$J$4:$J$1531,"&gt;=01/01/2019",$J$4:$J$1531,"&lt;=31/12/2019")</f>
        <v>9836302564.7000008</v>
      </c>
      <c r="W19" s="24">
        <f>SUMIFS($O$4:$O$1531,$F$4:$F$1531,"FOLLOW-ON",$J$4:$J$1531,"&gt;=01/01/2019",$J$4:$J$1531,"&lt;=31/12/2019")</f>
        <v>79762980683.209991</v>
      </c>
      <c r="X19" s="29">
        <f>SUMIFS($O$4:$O$1531,$J$4:$J$1531,"&gt;=01/01/2019",$J$4:$J$1531,"&lt;=31/12/2019")</f>
        <v>89599283247.910004</v>
      </c>
    </row>
    <row r="20" spans="2:24" ht="13" x14ac:dyDescent="0.3">
      <c r="B20" s="18" t="s">
        <v>206</v>
      </c>
      <c r="C20" s="19" t="s">
        <v>179</v>
      </c>
      <c r="D20" s="19" t="s">
        <v>592</v>
      </c>
      <c r="E20" s="19" t="s">
        <v>207</v>
      </c>
      <c r="F20" s="19" t="s">
        <v>23</v>
      </c>
      <c r="G20" s="19" t="s">
        <v>181</v>
      </c>
      <c r="H20" s="20">
        <v>38209</v>
      </c>
      <c r="I20" s="21">
        <v>1.6</v>
      </c>
      <c r="J20" s="22">
        <v>38411</v>
      </c>
      <c r="K20" s="23">
        <v>1589</v>
      </c>
      <c r="L20" s="23">
        <v>1781</v>
      </c>
      <c r="M20" s="24">
        <v>16000000</v>
      </c>
      <c r="N20" s="24">
        <v>0</v>
      </c>
      <c r="O20" s="25">
        <v>16000000</v>
      </c>
      <c r="P20" s="26">
        <v>0.87065859999999995</v>
      </c>
      <c r="Q20" s="26">
        <v>1.0185300000000001E-2</v>
      </c>
      <c r="R20" s="26">
        <v>5.2089100000000006E-2</v>
      </c>
      <c r="S20" s="27">
        <v>6.7067000000000002E-2</v>
      </c>
      <c r="U20" s="28">
        <v>2020</v>
      </c>
      <c r="V20" s="24">
        <f>SUMIFS($O$4:$O$1531,$F$4:$F$1531,"IPO",$J$4:$J$1531,"&gt;=01/01/2020",$J$4:$J$1531,"&lt;=31/12/2020")</f>
        <v>43925413832.250008</v>
      </c>
      <c r="W20" s="24">
        <f>SUMIFS($O$4:$O$1531,$F$4:$F$1531,"FOLLOW-ON",$J$4:$J$1531,"&gt;=01/01/2020",$J$4:$J$1531,"&lt;=31/12/2020")</f>
        <v>73962720930.050003</v>
      </c>
      <c r="X20" s="29">
        <f>SUMIFS($O$4:$O$1531,$J$4:$J$1531,"&gt;=01/01/2020",$J$4:$J$1531,"&lt;=31/12/2020")</f>
        <v>117888134762.29999</v>
      </c>
    </row>
    <row r="21" spans="2:24" ht="13" x14ac:dyDescent="0.3">
      <c r="B21" s="18" t="s">
        <v>186</v>
      </c>
      <c r="C21" s="19" t="s">
        <v>184</v>
      </c>
      <c r="D21" s="19" t="s">
        <v>581</v>
      </c>
      <c r="E21" s="19" t="s">
        <v>187</v>
      </c>
      <c r="F21" s="19" t="s">
        <v>24</v>
      </c>
      <c r="G21" s="19" t="s">
        <v>181</v>
      </c>
      <c r="H21" s="20">
        <v>38433</v>
      </c>
      <c r="I21" s="21">
        <v>72.5</v>
      </c>
      <c r="J21" s="22">
        <v>38434</v>
      </c>
      <c r="K21" s="23">
        <v>1167</v>
      </c>
      <c r="L21" s="23">
        <v>1540</v>
      </c>
      <c r="M21" s="24">
        <v>0</v>
      </c>
      <c r="N21" s="24">
        <v>644865677.5</v>
      </c>
      <c r="O21" s="25">
        <v>644865677.5</v>
      </c>
      <c r="P21" s="26">
        <v>8.5816619539345856E-2</v>
      </c>
      <c r="Q21" s="26">
        <v>0.11042386032399747</v>
      </c>
      <c r="R21" s="26">
        <v>0.79990194159465089</v>
      </c>
      <c r="S21" s="27">
        <v>3.8575785420057497E-3</v>
      </c>
      <c r="U21" s="28">
        <v>2021</v>
      </c>
      <c r="V21" s="24">
        <f>SUMIFS($O$4:$O$1531,$F$4:$F$1531,"IPO",$J$4:$J$1531,"&gt;=01/01/2021",$J$4:$J$1531,"&lt;=31/12/2021")</f>
        <v>65668660562.69001</v>
      </c>
      <c r="W21" s="24">
        <f>SUMIFS($O$4:$O$1531,$F$4:$F$1531,"FOLLOW-ON",$J$4:$J$1531,"&gt;=01/01/2021",$J$4:$J$1531,"&lt;=31/12/2021")</f>
        <v>64844099967.299995</v>
      </c>
      <c r="X21" s="29">
        <f>SUMIFS($O$4:$O$1531,$J$4:$J$1531,"&gt;=01/01/2021",$J$4:$J$1531,"&lt;=31/12/2021")</f>
        <v>130512760529.98999</v>
      </c>
    </row>
    <row r="22" spans="2:24" ht="13" x14ac:dyDescent="0.3">
      <c r="B22" s="18" t="s">
        <v>208</v>
      </c>
      <c r="C22" s="19" t="s">
        <v>179</v>
      </c>
      <c r="D22" s="19" t="s">
        <v>593</v>
      </c>
      <c r="E22" s="19" t="s">
        <v>202</v>
      </c>
      <c r="F22" s="19" t="s">
        <v>23</v>
      </c>
      <c r="G22" s="19" t="s">
        <v>181</v>
      </c>
      <c r="H22" s="20">
        <v>38440</v>
      </c>
      <c r="I22" s="21">
        <v>21.62</v>
      </c>
      <c r="J22" s="22">
        <v>38441</v>
      </c>
      <c r="K22" s="23">
        <v>3969</v>
      </c>
      <c r="L22" s="23">
        <v>4368</v>
      </c>
      <c r="M22" s="24">
        <v>135125000</v>
      </c>
      <c r="N22" s="24">
        <v>337812500</v>
      </c>
      <c r="O22" s="25">
        <v>472937500</v>
      </c>
      <c r="P22" s="26">
        <v>8.858470559006211E-2</v>
      </c>
      <c r="Q22" s="26">
        <v>0.2329450931677019</v>
      </c>
      <c r="R22" s="26">
        <v>0.65442583850931679</v>
      </c>
      <c r="S22" s="27">
        <v>2.4044362732919256E-2</v>
      </c>
      <c r="U22" s="28">
        <v>2022</v>
      </c>
      <c r="V22" s="24">
        <f>SUMIFS($O$4:$O$1531,$F$4:$F$1531,"IPO",$J$4:$J$1531,"&gt;=01/01/2022",$J$4:$J$1531,"&lt;=31/12/2022")</f>
        <v>0</v>
      </c>
      <c r="W22" s="24">
        <f>SUMIFS($O$4:$O$1531,$F$4:$F$1531,"FOLLOW-ON",$J$4:$J$1531,"&gt;=01/01/2022",$J$4:$J$1531,"&lt;=31/12/2022")</f>
        <v>57701485612.419998</v>
      </c>
      <c r="X22" s="29">
        <f>SUMIFS($O$4:$O$1531,$J$4:$J$1531,"&gt;=01/01/2022",$J$4:$J$1531,"&lt;=31/12/2022")</f>
        <v>57701485612.419998</v>
      </c>
    </row>
    <row r="23" spans="2:24" ht="13" x14ac:dyDescent="0.3">
      <c r="B23" s="18" t="s">
        <v>209</v>
      </c>
      <c r="C23" s="19" t="s">
        <v>210</v>
      </c>
      <c r="D23" s="19" t="s">
        <v>590</v>
      </c>
      <c r="E23" s="19" t="s">
        <v>180</v>
      </c>
      <c r="F23" s="19" t="s">
        <v>24</v>
      </c>
      <c r="G23" s="19" t="s">
        <v>181</v>
      </c>
      <c r="H23" s="20">
        <v>38454</v>
      </c>
      <c r="I23" s="21">
        <v>0.04</v>
      </c>
      <c r="J23" s="22">
        <v>38455</v>
      </c>
      <c r="K23" s="23">
        <v>1466</v>
      </c>
      <c r="L23" s="23">
        <v>1817</v>
      </c>
      <c r="M23" s="24">
        <v>47218027.880000003</v>
      </c>
      <c r="N23" s="24">
        <v>314786852.72000003</v>
      </c>
      <c r="O23" s="25">
        <v>362004880.60000002</v>
      </c>
      <c r="P23" s="26">
        <v>8.0113947502397281E-2</v>
      </c>
      <c r="Q23" s="26">
        <v>0.13830698811854636</v>
      </c>
      <c r="R23" s="26">
        <v>0.74808946064800641</v>
      </c>
      <c r="S23" s="27">
        <v>3.3489603731049804E-2</v>
      </c>
      <c r="U23" s="28">
        <v>2023</v>
      </c>
      <c r="V23" s="24">
        <f>SUMIFS($O$4:$O$1531,$F$4:$F$1531,"IPO",$J$4:$J$1531,"&gt;=01/01/2022",$J$4:$J$1531,"&lt;=31/12/2022")</f>
        <v>0</v>
      </c>
      <c r="W23" s="24">
        <f>SUMIFS($O$4:$O$1531,$F$4:$F$1531,"FOLLOW-ON",$J$4:$J$1531,"&gt;=01/01/2023",$J$4:$J$1531,"&lt;=31/12/2023")</f>
        <v>31624646072.540001</v>
      </c>
      <c r="X23" s="29">
        <f>SUMIFS($O$4:$O$1531,$J$4:$J$1531,"&gt;=01/01/2023",$J$4:$J$1531,"&lt;=31/12/2023")</f>
        <v>31624646072.540001</v>
      </c>
    </row>
    <row r="24" spans="2:24" ht="12.5" x14ac:dyDescent="0.25">
      <c r="B24" s="18" t="s">
        <v>183</v>
      </c>
      <c r="C24" s="19" t="s">
        <v>184</v>
      </c>
      <c r="D24" s="19" t="s">
        <v>580</v>
      </c>
      <c r="E24" s="19" t="s">
        <v>211</v>
      </c>
      <c r="F24" s="19" t="s">
        <v>24</v>
      </c>
      <c r="G24" s="19" t="s">
        <v>181</v>
      </c>
      <c r="H24" s="20">
        <v>38469</v>
      </c>
      <c r="I24" s="21">
        <v>35.119999999999997</v>
      </c>
      <c r="J24" s="22">
        <v>38470</v>
      </c>
      <c r="K24" s="23">
        <v>2379</v>
      </c>
      <c r="L24" s="23">
        <v>2598</v>
      </c>
      <c r="M24" s="24">
        <v>271330482.31999999</v>
      </c>
      <c r="N24" s="24">
        <v>322373117.67999995</v>
      </c>
      <c r="O24" s="25">
        <v>593703600</v>
      </c>
      <c r="P24" s="26">
        <v>4.7624312333629099E-2</v>
      </c>
      <c r="Q24" s="26">
        <v>0.15055959775214431</v>
      </c>
      <c r="R24" s="26">
        <v>0.79227151730257306</v>
      </c>
      <c r="S24" s="27">
        <v>9.5445726116533559E-3</v>
      </c>
    </row>
    <row r="25" spans="2:24" ht="12.5" x14ac:dyDescent="0.25">
      <c r="B25" s="18" t="s">
        <v>212</v>
      </c>
      <c r="C25" s="19" t="s">
        <v>179</v>
      </c>
      <c r="D25" s="19" t="s">
        <v>594</v>
      </c>
      <c r="E25" s="19" t="s">
        <v>202</v>
      </c>
      <c r="F25" s="19" t="s">
        <v>23</v>
      </c>
      <c r="G25" s="19" t="s">
        <v>181</v>
      </c>
      <c r="H25" s="20">
        <v>38491</v>
      </c>
      <c r="I25" s="21">
        <v>11.5</v>
      </c>
      <c r="J25" s="22">
        <v>38495</v>
      </c>
      <c r="K25" s="23">
        <v>785</v>
      </c>
      <c r="L25" s="23">
        <v>958</v>
      </c>
      <c r="M25" s="24">
        <v>0</v>
      </c>
      <c r="N25" s="24">
        <v>264802737.5</v>
      </c>
      <c r="O25" s="25">
        <v>264802737.5</v>
      </c>
      <c r="P25" s="26">
        <v>8.2029748017389284E-2</v>
      </c>
      <c r="Q25" s="26">
        <v>4.0349202653940167E-2</v>
      </c>
      <c r="R25" s="26">
        <v>0.86661689432317945</v>
      </c>
      <c r="S25" s="27">
        <v>1.1004155005491085E-2</v>
      </c>
    </row>
    <row r="26" spans="2:24" ht="12.5" x14ac:dyDescent="0.25">
      <c r="B26" s="18" t="s">
        <v>213</v>
      </c>
      <c r="C26" s="19" t="s">
        <v>184</v>
      </c>
      <c r="D26" s="19" t="s">
        <v>580</v>
      </c>
      <c r="E26" s="19" t="s">
        <v>187</v>
      </c>
      <c r="F26" s="19" t="s">
        <v>23</v>
      </c>
      <c r="G26" s="19" t="s">
        <v>181</v>
      </c>
      <c r="H26" s="20">
        <v>38516</v>
      </c>
      <c r="I26" s="21">
        <v>18</v>
      </c>
      <c r="J26" s="22">
        <v>38517</v>
      </c>
      <c r="K26" s="23">
        <v>1171</v>
      </c>
      <c r="L26" s="23">
        <v>1647</v>
      </c>
      <c r="M26" s="24">
        <v>383942160</v>
      </c>
      <c r="N26" s="24">
        <v>164546640</v>
      </c>
      <c r="O26" s="25">
        <v>548488800</v>
      </c>
      <c r="P26" s="26">
        <v>9.1328515732682233E-2</v>
      </c>
      <c r="Q26" s="26">
        <v>0.16127735333884666</v>
      </c>
      <c r="R26" s="26">
        <v>0.73807417398495645</v>
      </c>
      <c r="S26" s="27">
        <v>9.3199569435146162E-3</v>
      </c>
    </row>
    <row r="27" spans="2:24" ht="12.5" x14ac:dyDescent="0.25">
      <c r="B27" s="18" t="s">
        <v>214</v>
      </c>
      <c r="C27" s="19" t="s">
        <v>210</v>
      </c>
      <c r="D27" s="19" t="s">
        <v>584</v>
      </c>
      <c r="E27" s="19" t="s">
        <v>202</v>
      </c>
      <c r="F27" s="19" t="s">
        <v>24</v>
      </c>
      <c r="G27" s="19" t="s">
        <v>181</v>
      </c>
      <c r="H27" s="20">
        <v>38517</v>
      </c>
      <c r="I27" s="21">
        <v>3.6499999999999998E-2</v>
      </c>
      <c r="J27" s="22">
        <v>38518</v>
      </c>
      <c r="K27" s="23">
        <v>657</v>
      </c>
      <c r="L27" s="23">
        <v>1139</v>
      </c>
      <c r="M27" s="24">
        <v>0</v>
      </c>
      <c r="N27" s="24">
        <v>1059840083.5385001</v>
      </c>
      <c r="O27" s="25">
        <v>1059840083.5385001</v>
      </c>
      <c r="P27" s="26">
        <v>1.7381361137518082E-2</v>
      </c>
      <c r="Q27" s="26">
        <v>0.17793288041473623</v>
      </c>
      <c r="R27" s="26">
        <v>0.80199920997291008</v>
      </c>
      <c r="S27" s="27">
        <v>2.686548474835607E-3</v>
      </c>
    </row>
    <row r="28" spans="2:24" ht="12.5" x14ac:dyDescent="0.25">
      <c r="B28" s="18" t="s">
        <v>215</v>
      </c>
      <c r="C28" s="19" t="s">
        <v>179</v>
      </c>
      <c r="D28" s="19" t="s">
        <v>595</v>
      </c>
      <c r="E28" s="19" t="s">
        <v>202</v>
      </c>
      <c r="F28" s="19" t="s">
        <v>24</v>
      </c>
      <c r="G28" s="19" t="s">
        <v>181</v>
      </c>
      <c r="H28" s="20">
        <v>38532</v>
      </c>
      <c r="I28" s="21">
        <v>37</v>
      </c>
      <c r="J28" s="22">
        <v>38534</v>
      </c>
      <c r="K28" s="23">
        <v>106</v>
      </c>
      <c r="L28" s="23">
        <v>448</v>
      </c>
      <c r="M28" s="24">
        <v>343138259</v>
      </c>
      <c r="N28" s="24">
        <v>542890492</v>
      </c>
      <c r="O28" s="25">
        <v>886028751</v>
      </c>
      <c r="P28" s="26">
        <v>1.8411596364719902E-2</v>
      </c>
      <c r="Q28" s="26">
        <v>0.11606454064758348</v>
      </c>
      <c r="R28" s="26">
        <v>0.86066164857145577</v>
      </c>
      <c r="S28" s="27">
        <v>4.8622144162407963E-3</v>
      </c>
    </row>
    <row r="29" spans="2:24" ht="12.5" x14ac:dyDescent="0.25">
      <c r="B29" s="18" t="s">
        <v>216</v>
      </c>
      <c r="C29" s="19" t="s">
        <v>179</v>
      </c>
      <c r="D29" s="19" t="s">
        <v>584</v>
      </c>
      <c r="E29" s="19" t="s">
        <v>180</v>
      </c>
      <c r="F29" s="19" t="s">
        <v>23</v>
      </c>
      <c r="G29" s="19" t="s">
        <v>181</v>
      </c>
      <c r="H29" s="20">
        <v>38545</v>
      </c>
      <c r="I29" s="21">
        <v>18</v>
      </c>
      <c r="J29" s="22">
        <v>38546</v>
      </c>
      <c r="K29" s="23">
        <v>460</v>
      </c>
      <c r="L29" s="23">
        <v>1473</v>
      </c>
      <c r="M29" s="24">
        <v>1170132696</v>
      </c>
      <c r="N29" s="24">
        <v>14570028</v>
      </c>
      <c r="O29" s="25">
        <v>1184702724</v>
      </c>
      <c r="P29" s="26">
        <v>1.2570388923998119E-2</v>
      </c>
      <c r="Q29" s="26">
        <v>0.1546174565898947</v>
      </c>
      <c r="R29" s="26">
        <v>0.26359767195065553</v>
      </c>
      <c r="S29" s="27">
        <v>0.5692144825354517</v>
      </c>
    </row>
    <row r="30" spans="2:24" ht="12.5" x14ac:dyDescent="0.25">
      <c r="B30" s="18" t="s">
        <v>217</v>
      </c>
      <c r="C30" s="19" t="s">
        <v>179</v>
      </c>
      <c r="D30" s="19" t="s">
        <v>578</v>
      </c>
      <c r="E30" s="19" t="s">
        <v>192</v>
      </c>
      <c r="F30" s="19" t="s">
        <v>23</v>
      </c>
      <c r="G30" s="19" t="s">
        <v>181</v>
      </c>
      <c r="H30" s="20">
        <v>38546</v>
      </c>
      <c r="I30" s="21">
        <v>18</v>
      </c>
      <c r="J30" s="22">
        <v>38548</v>
      </c>
      <c r="K30" s="23">
        <v>1057</v>
      </c>
      <c r="L30" s="23">
        <v>1367</v>
      </c>
      <c r="M30" s="24">
        <v>135000000</v>
      </c>
      <c r="N30" s="24">
        <v>360999990</v>
      </c>
      <c r="O30" s="25">
        <v>495999990</v>
      </c>
      <c r="P30" s="26">
        <v>7.9794400802306473E-2</v>
      </c>
      <c r="Q30" s="26">
        <v>0.20655435900311209</v>
      </c>
      <c r="R30" s="26">
        <v>0.70142169156092116</v>
      </c>
      <c r="S30" s="27">
        <v>1.2229548633660254E-2</v>
      </c>
    </row>
    <row r="31" spans="2:24" ht="12.5" x14ac:dyDescent="0.25">
      <c r="B31" s="18" t="s">
        <v>205</v>
      </c>
      <c r="C31" s="19" t="s">
        <v>189</v>
      </c>
      <c r="D31" s="19" t="s">
        <v>591</v>
      </c>
      <c r="E31" s="19" t="s">
        <v>192</v>
      </c>
      <c r="F31" s="19" t="s">
        <v>24</v>
      </c>
      <c r="G31" s="19" t="s">
        <v>181</v>
      </c>
      <c r="H31" s="20">
        <v>38608</v>
      </c>
      <c r="I31" s="21">
        <v>20.49</v>
      </c>
      <c r="J31" s="22">
        <v>38609</v>
      </c>
      <c r="K31" s="23">
        <v>932</v>
      </c>
      <c r="L31" s="23">
        <v>1415</v>
      </c>
      <c r="M31" s="24">
        <v>0</v>
      </c>
      <c r="N31" s="24">
        <v>1765197435.8399999</v>
      </c>
      <c r="O31" s="25">
        <v>1765197435.8399999</v>
      </c>
      <c r="P31" s="26">
        <v>2.9388961589621433E-2</v>
      </c>
      <c r="Q31" s="26">
        <v>0.1540143441351805</v>
      </c>
      <c r="R31" s="26">
        <v>0.80465119961161347</v>
      </c>
      <c r="S31" s="27">
        <v>1.1945494663584633E-2</v>
      </c>
    </row>
    <row r="32" spans="2:24" ht="12.5" x14ac:dyDescent="0.25">
      <c r="B32" s="18" t="s">
        <v>201</v>
      </c>
      <c r="C32" s="19" t="s">
        <v>189</v>
      </c>
      <c r="D32" s="19" t="s">
        <v>590</v>
      </c>
      <c r="E32" s="19" t="s">
        <v>202</v>
      </c>
      <c r="F32" s="19" t="s">
        <v>24</v>
      </c>
      <c r="G32" s="19" t="s">
        <v>181</v>
      </c>
      <c r="H32" s="20">
        <v>38609</v>
      </c>
      <c r="I32" s="21">
        <v>53</v>
      </c>
      <c r="J32" s="22">
        <v>38610</v>
      </c>
      <c r="K32" s="23">
        <v>823</v>
      </c>
      <c r="L32" s="23">
        <v>1289</v>
      </c>
      <c r="M32" s="24">
        <v>0</v>
      </c>
      <c r="N32" s="24">
        <v>505059260</v>
      </c>
      <c r="O32" s="25">
        <v>505059260</v>
      </c>
      <c r="P32" s="26">
        <v>8.5088494367967824E-2</v>
      </c>
      <c r="Q32" s="26">
        <v>0.23694778905746625</v>
      </c>
      <c r="R32" s="26">
        <v>0.67082687089035853</v>
      </c>
      <c r="S32" s="27">
        <v>7.1368456842074331E-3</v>
      </c>
    </row>
    <row r="33" spans="2:19" ht="12.5" x14ac:dyDescent="0.25">
      <c r="B33" s="18" t="s">
        <v>218</v>
      </c>
      <c r="C33" s="19" t="s">
        <v>179</v>
      </c>
      <c r="D33" s="19" t="s">
        <v>596</v>
      </c>
      <c r="E33" s="19" t="s">
        <v>202</v>
      </c>
      <c r="F33" s="19" t="s">
        <v>24</v>
      </c>
      <c r="G33" s="19" t="s">
        <v>181</v>
      </c>
      <c r="H33" s="20">
        <v>38615</v>
      </c>
      <c r="I33" s="21">
        <v>15</v>
      </c>
      <c r="J33" s="22">
        <v>38617</v>
      </c>
      <c r="K33" s="23">
        <v>1574</v>
      </c>
      <c r="L33" s="23">
        <v>2025</v>
      </c>
      <c r="M33" s="24">
        <v>629175000</v>
      </c>
      <c r="N33" s="24">
        <v>273000000</v>
      </c>
      <c r="O33" s="25">
        <v>902175000</v>
      </c>
      <c r="P33" s="26">
        <v>8.3550852107407106E-2</v>
      </c>
      <c r="Q33" s="26">
        <v>0.18672499792168926</v>
      </c>
      <c r="R33" s="26">
        <v>0.7224429628398038</v>
      </c>
      <c r="S33" s="27">
        <v>7.2811871310998416E-3</v>
      </c>
    </row>
    <row r="34" spans="2:19" ht="12.5" x14ac:dyDescent="0.25">
      <c r="B34" s="18" t="s">
        <v>219</v>
      </c>
      <c r="C34" s="19" t="s">
        <v>179</v>
      </c>
      <c r="D34" s="19" t="s">
        <v>591</v>
      </c>
      <c r="E34" s="19" t="s">
        <v>180</v>
      </c>
      <c r="F34" s="19" t="s">
        <v>23</v>
      </c>
      <c r="G34" s="19" t="s">
        <v>181</v>
      </c>
      <c r="H34" s="20">
        <v>38651</v>
      </c>
      <c r="I34" s="21">
        <v>31</v>
      </c>
      <c r="J34" s="22">
        <v>38653</v>
      </c>
      <c r="K34" s="23">
        <v>7342</v>
      </c>
      <c r="L34" s="23">
        <v>8983</v>
      </c>
      <c r="M34" s="24">
        <v>0</v>
      </c>
      <c r="N34" s="24">
        <v>953955994</v>
      </c>
      <c r="O34" s="25">
        <v>953955994</v>
      </c>
      <c r="P34" s="26">
        <v>7.061810547206436E-2</v>
      </c>
      <c r="Q34" s="26">
        <v>0.21591992324123915</v>
      </c>
      <c r="R34" s="26">
        <v>0.70600518497292442</v>
      </c>
      <c r="S34" s="27">
        <v>7.4567863137720378E-3</v>
      </c>
    </row>
    <row r="35" spans="2:19" ht="12.5" x14ac:dyDescent="0.25">
      <c r="B35" s="18" t="s">
        <v>220</v>
      </c>
      <c r="C35" s="19" t="s">
        <v>179</v>
      </c>
      <c r="D35" s="19" t="s">
        <v>592</v>
      </c>
      <c r="E35" s="19" t="s">
        <v>185</v>
      </c>
      <c r="F35" s="19" t="s">
        <v>23</v>
      </c>
      <c r="G35" s="19" t="s">
        <v>181</v>
      </c>
      <c r="H35" s="20">
        <v>38672</v>
      </c>
      <c r="I35" s="21">
        <v>48</v>
      </c>
      <c r="J35" s="22">
        <v>38674</v>
      </c>
      <c r="K35" s="23">
        <v>8835</v>
      </c>
      <c r="L35" s="23">
        <v>10359</v>
      </c>
      <c r="M35" s="24">
        <v>885767328</v>
      </c>
      <c r="N35" s="24">
        <v>0</v>
      </c>
      <c r="O35" s="25">
        <v>885767328</v>
      </c>
      <c r="P35" s="26">
        <v>8.2878378643471487E-2</v>
      </c>
      <c r="Q35" s="26">
        <v>0.18421603376185941</v>
      </c>
      <c r="R35" s="26">
        <v>0.72297521454753866</v>
      </c>
      <c r="S35" s="27">
        <v>9.9303730471304984E-3</v>
      </c>
    </row>
    <row r="36" spans="2:19" ht="12.5" x14ac:dyDescent="0.25">
      <c r="B36" s="18" t="s">
        <v>221</v>
      </c>
      <c r="C36" s="19" t="s">
        <v>179</v>
      </c>
      <c r="D36" s="19" t="s">
        <v>584</v>
      </c>
      <c r="E36" s="19" t="s">
        <v>180</v>
      </c>
      <c r="F36" s="19" t="s">
        <v>24</v>
      </c>
      <c r="G36" s="19" t="s">
        <v>181</v>
      </c>
      <c r="H36" s="20">
        <v>38693</v>
      </c>
      <c r="I36" s="21">
        <v>13</v>
      </c>
      <c r="J36" s="22">
        <v>38695</v>
      </c>
      <c r="K36" s="23">
        <v>6351</v>
      </c>
      <c r="L36" s="23">
        <v>7405</v>
      </c>
      <c r="M36" s="24">
        <v>0</v>
      </c>
      <c r="N36" s="24">
        <v>1051700000</v>
      </c>
      <c r="O36" s="25">
        <v>1051700000</v>
      </c>
      <c r="P36" s="26">
        <v>8.4687243510506799E-2</v>
      </c>
      <c r="Q36" s="26">
        <v>0.35782385661310262</v>
      </c>
      <c r="R36" s="26">
        <v>0.55052860321384423</v>
      </c>
      <c r="S36" s="27">
        <v>6.9602966625463532E-3</v>
      </c>
    </row>
    <row r="37" spans="2:19" ht="13" thickBot="1" x14ac:dyDescent="0.3">
      <c r="B37" s="30" t="s">
        <v>222</v>
      </c>
      <c r="C37" s="31" t="s">
        <v>184</v>
      </c>
      <c r="D37" s="31" t="s">
        <v>597</v>
      </c>
      <c r="E37" s="31" t="s">
        <v>194</v>
      </c>
      <c r="F37" s="31" t="s">
        <v>23</v>
      </c>
      <c r="G37" s="31" t="s">
        <v>181</v>
      </c>
      <c r="H37" s="32">
        <v>38700</v>
      </c>
      <c r="I37" s="33">
        <v>18</v>
      </c>
      <c r="J37" s="34">
        <v>38702</v>
      </c>
      <c r="K37" s="35">
        <v>12890</v>
      </c>
      <c r="L37" s="35">
        <v>14346</v>
      </c>
      <c r="M37" s="36">
        <v>322972416</v>
      </c>
      <c r="N37" s="36">
        <v>301708170</v>
      </c>
      <c r="O37" s="37">
        <v>624680586</v>
      </c>
      <c r="P37" s="38">
        <v>7.2507475044214037E-2</v>
      </c>
      <c r="Q37" s="38">
        <v>0.2122019588423707</v>
      </c>
      <c r="R37" s="38">
        <v>0.70989575782974634</v>
      </c>
      <c r="S37" s="39">
        <v>5.394808283668992E-3</v>
      </c>
    </row>
    <row r="38" spans="2:19" ht="13" thickTop="1" x14ac:dyDescent="0.25">
      <c r="B38" s="40" t="s">
        <v>223</v>
      </c>
      <c r="C38" s="41" t="s">
        <v>189</v>
      </c>
      <c r="D38" s="41" t="s">
        <v>598</v>
      </c>
      <c r="E38" s="41" t="s">
        <v>192</v>
      </c>
      <c r="F38" s="41" t="s">
        <v>24</v>
      </c>
      <c r="G38" s="41" t="s">
        <v>181</v>
      </c>
      <c r="H38" s="42">
        <v>38748</v>
      </c>
      <c r="I38" s="43">
        <v>19.25</v>
      </c>
      <c r="J38" s="44">
        <v>38750</v>
      </c>
      <c r="K38" s="45">
        <v>6870</v>
      </c>
      <c r="L38" s="45">
        <v>7577</v>
      </c>
      <c r="M38" s="46">
        <v>0</v>
      </c>
      <c r="N38" s="46">
        <v>340203787</v>
      </c>
      <c r="O38" s="47">
        <v>340203787</v>
      </c>
      <c r="P38" s="48">
        <v>0.11827067394332143</v>
      </c>
      <c r="Q38" s="48">
        <v>0.43583619318392341</v>
      </c>
      <c r="R38" s="48">
        <v>0.41675699151746798</v>
      </c>
      <c r="S38" s="49">
        <v>2.9136141355287172E-2</v>
      </c>
    </row>
    <row r="39" spans="2:19" ht="12.5" x14ac:dyDescent="0.25">
      <c r="B39" s="18" t="s">
        <v>224</v>
      </c>
      <c r="C39" s="19" t="s">
        <v>179</v>
      </c>
      <c r="D39" s="19" t="s">
        <v>586</v>
      </c>
      <c r="E39" s="19" t="s">
        <v>192</v>
      </c>
      <c r="F39" s="19" t="s">
        <v>23</v>
      </c>
      <c r="G39" s="19" t="s">
        <v>181</v>
      </c>
      <c r="H39" s="20">
        <v>38754</v>
      </c>
      <c r="I39" s="21">
        <v>23.5</v>
      </c>
      <c r="J39" s="22">
        <v>38756</v>
      </c>
      <c r="K39" s="23">
        <v>15465</v>
      </c>
      <c r="L39" s="23">
        <v>17214</v>
      </c>
      <c r="M39" s="24">
        <v>813461524</v>
      </c>
      <c r="N39" s="24">
        <v>0</v>
      </c>
      <c r="O39" s="25">
        <v>813461524</v>
      </c>
      <c r="P39" s="26">
        <v>6.932671901025278E-2</v>
      </c>
      <c r="Q39" s="26">
        <v>0.17995897431038177</v>
      </c>
      <c r="R39" s="26">
        <v>0.73886237980199787</v>
      </c>
      <c r="S39" s="27">
        <v>1.1851926877367589E-2</v>
      </c>
    </row>
    <row r="40" spans="2:19" ht="12.5" x14ac:dyDescent="0.25">
      <c r="B40" s="18" t="s">
        <v>225</v>
      </c>
      <c r="C40" s="19" t="s">
        <v>184</v>
      </c>
      <c r="D40" s="19" t="s">
        <v>599</v>
      </c>
      <c r="E40" s="19" t="s">
        <v>204</v>
      </c>
      <c r="F40" s="19" t="s">
        <v>23</v>
      </c>
      <c r="G40" s="19" t="s">
        <v>181</v>
      </c>
      <c r="H40" s="20">
        <v>38754</v>
      </c>
      <c r="I40" s="21">
        <v>24.5</v>
      </c>
      <c r="J40" s="22">
        <v>38756</v>
      </c>
      <c r="K40" s="23">
        <v>7730</v>
      </c>
      <c r="L40" s="23">
        <v>9017</v>
      </c>
      <c r="M40" s="24">
        <v>58800000</v>
      </c>
      <c r="N40" s="24">
        <v>470400000</v>
      </c>
      <c r="O40" s="25">
        <v>529200000</v>
      </c>
      <c r="P40" s="26">
        <v>7.7384722222222216E-2</v>
      </c>
      <c r="Q40" s="26">
        <v>0.22933722222222222</v>
      </c>
      <c r="R40" s="26">
        <v>0.68627736111111115</v>
      </c>
      <c r="S40" s="27">
        <v>7.0006944444444448E-3</v>
      </c>
    </row>
    <row r="41" spans="2:19" ht="12.5" x14ac:dyDescent="0.25">
      <c r="B41" s="18" t="s">
        <v>226</v>
      </c>
      <c r="C41" s="19" t="s">
        <v>179</v>
      </c>
      <c r="D41" s="19" t="s">
        <v>596</v>
      </c>
      <c r="E41" s="19" t="s">
        <v>202</v>
      </c>
      <c r="F41" s="19" t="s">
        <v>24</v>
      </c>
      <c r="G41" s="19" t="s">
        <v>181</v>
      </c>
      <c r="H41" s="20">
        <v>38761</v>
      </c>
      <c r="I41" s="21">
        <v>25</v>
      </c>
      <c r="J41" s="22">
        <v>38763</v>
      </c>
      <c r="K41" s="23">
        <v>3348</v>
      </c>
      <c r="L41" s="23">
        <v>3989</v>
      </c>
      <c r="M41" s="24">
        <v>762500000</v>
      </c>
      <c r="N41" s="24">
        <v>250000000</v>
      </c>
      <c r="O41" s="25">
        <v>1012500000</v>
      </c>
      <c r="P41" s="26">
        <v>7.2594839506172834E-2</v>
      </c>
      <c r="Q41" s="26">
        <v>0.12092846913580246</v>
      </c>
      <c r="R41" s="26">
        <v>0.80292745679012345</v>
      </c>
      <c r="S41" s="27">
        <v>3.5492345679012344E-3</v>
      </c>
    </row>
    <row r="42" spans="2:19" ht="12.5" x14ac:dyDescent="0.25">
      <c r="B42" s="18" t="s">
        <v>227</v>
      </c>
      <c r="C42" s="19" t="s">
        <v>179</v>
      </c>
      <c r="D42" s="19" t="s">
        <v>596</v>
      </c>
      <c r="E42" s="19" t="s">
        <v>194</v>
      </c>
      <c r="F42" s="19" t="s">
        <v>23</v>
      </c>
      <c r="G42" s="19" t="s">
        <v>181</v>
      </c>
      <c r="H42" s="20">
        <v>38764</v>
      </c>
      <c r="I42" s="21">
        <v>18.5</v>
      </c>
      <c r="J42" s="22">
        <v>38765</v>
      </c>
      <c r="K42" s="23">
        <v>13753</v>
      </c>
      <c r="L42" s="23">
        <v>15560</v>
      </c>
      <c r="M42" s="24">
        <v>494394000</v>
      </c>
      <c r="N42" s="24">
        <v>432594750</v>
      </c>
      <c r="O42" s="25">
        <v>926988750</v>
      </c>
      <c r="P42" s="26">
        <v>8.964815646360326E-2</v>
      </c>
      <c r="Q42" s="26">
        <v>0.17935019707628599</v>
      </c>
      <c r="R42" s="26">
        <v>0.72243095345008235</v>
      </c>
      <c r="S42" s="27">
        <v>8.5706930100284389E-3</v>
      </c>
    </row>
    <row r="43" spans="2:19" ht="12.5" x14ac:dyDescent="0.25">
      <c r="B43" s="18" t="s">
        <v>228</v>
      </c>
      <c r="C43" s="19" t="s">
        <v>179</v>
      </c>
      <c r="D43" s="19" t="s">
        <v>596</v>
      </c>
      <c r="E43" s="19" t="s">
        <v>229</v>
      </c>
      <c r="F43" s="19" t="s">
        <v>23</v>
      </c>
      <c r="G43" s="19" t="s">
        <v>181</v>
      </c>
      <c r="H43" s="20">
        <v>38771</v>
      </c>
      <c r="I43" s="21">
        <v>16</v>
      </c>
      <c r="J43" s="22">
        <v>38778</v>
      </c>
      <c r="K43" s="23">
        <v>12903</v>
      </c>
      <c r="L43" s="23">
        <v>13701</v>
      </c>
      <c r="M43" s="24">
        <v>208000000</v>
      </c>
      <c r="N43" s="24">
        <v>73600000</v>
      </c>
      <c r="O43" s="25">
        <v>281600000</v>
      </c>
      <c r="P43" s="26">
        <v>9.2559488636363638E-2</v>
      </c>
      <c r="Q43" s="26">
        <v>0.26853977272727275</v>
      </c>
      <c r="R43" s="26">
        <v>0.63618750000000002</v>
      </c>
      <c r="S43" s="27">
        <v>2.7132386363636365E-3</v>
      </c>
    </row>
    <row r="44" spans="2:19" ht="12.5" x14ac:dyDescent="0.25">
      <c r="B44" s="18" t="s">
        <v>230</v>
      </c>
      <c r="C44" s="19" t="s">
        <v>179</v>
      </c>
      <c r="D44" s="19" t="s">
        <v>597</v>
      </c>
      <c r="E44" s="19" t="s">
        <v>204</v>
      </c>
      <c r="F44" s="19" t="s">
        <v>23</v>
      </c>
      <c r="G44" s="19" t="s">
        <v>181</v>
      </c>
      <c r="H44" s="20">
        <v>38783</v>
      </c>
      <c r="I44" s="21">
        <v>32</v>
      </c>
      <c r="J44" s="22">
        <v>38785</v>
      </c>
      <c r="K44" s="23">
        <v>16017</v>
      </c>
      <c r="L44" s="23">
        <v>17600</v>
      </c>
      <c r="M44" s="24">
        <v>344800000</v>
      </c>
      <c r="N44" s="24">
        <v>115200000</v>
      </c>
      <c r="O44" s="25">
        <v>460000000</v>
      </c>
      <c r="P44" s="26">
        <v>8.8108173913043472E-2</v>
      </c>
      <c r="Q44" s="26">
        <v>0.21268459130434783</v>
      </c>
      <c r="R44" s="26">
        <v>0.69445808695652178</v>
      </c>
      <c r="S44" s="27">
        <v>4.7491478260869562E-3</v>
      </c>
    </row>
    <row r="45" spans="2:19" ht="12.5" x14ac:dyDescent="0.25">
      <c r="B45" s="18" t="s">
        <v>213</v>
      </c>
      <c r="C45" s="19" t="s">
        <v>184</v>
      </c>
      <c r="D45" s="19" t="s">
        <v>580</v>
      </c>
      <c r="E45" s="19" t="s">
        <v>187</v>
      </c>
      <c r="F45" s="19" t="s">
        <v>24</v>
      </c>
      <c r="G45" s="19" t="s">
        <v>181</v>
      </c>
      <c r="H45" s="20">
        <v>38785</v>
      </c>
      <c r="I45" s="21">
        <v>42</v>
      </c>
      <c r="J45" s="22">
        <v>38786</v>
      </c>
      <c r="K45" s="23">
        <v>3510</v>
      </c>
      <c r="L45" s="23">
        <v>3891</v>
      </c>
      <c r="M45" s="24">
        <v>273162918</v>
      </c>
      <c r="N45" s="24">
        <v>1285960116</v>
      </c>
      <c r="O45" s="25">
        <v>1559123034</v>
      </c>
      <c r="P45" s="26">
        <v>3.5161401866052801E-2</v>
      </c>
      <c r="Q45" s="26">
        <v>0.19000637598312647</v>
      </c>
      <c r="R45" s="26">
        <v>0.77077014116993636</v>
      </c>
      <c r="S45" s="27">
        <v>4.0620809808843417E-3</v>
      </c>
    </row>
    <row r="46" spans="2:19" ht="12.5" x14ac:dyDescent="0.25">
      <c r="B46" s="18" t="s">
        <v>197</v>
      </c>
      <c r="C46" s="19" t="s">
        <v>179</v>
      </c>
      <c r="D46" s="19" t="s">
        <v>587</v>
      </c>
      <c r="E46" s="19" t="s">
        <v>180</v>
      </c>
      <c r="F46" s="19" t="s">
        <v>24</v>
      </c>
      <c r="G46" s="19" t="s">
        <v>181</v>
      </c>
      <c r="H46" s="20">
        <v>38798</v>
      </c>
      <c r="I46" s="21">
        <v>49</v>
      </c>
      <c r="J46" s="22">
        <v>38800</v>
      </c>
      <c r="K46" s="23">
        <v>2063</v>
      </c>
      <c r="L46" s="23">
        <v>2308</v>
      </c>
      <c r="M46" s="24">
        <v>185955000</v>
      </c>
      <c r="N46" s="24">
        <v>476428274</v>
      </c>
      <c r="O46" s="25">
        <v>662383274</v>
      </c>
      <c r="P46" s="26">
        <v>3.5627391159034613E-2</v>
      </c>
      <c r="Q46" s="26">
        <v>0.10744068697604221</v>
      </c>
      <c r="R46" s="26">
        <v>0.84918803973302015</v>
      </c>
      <c r="S46" s="27">
        <v>7.7438821319029865E-3</v>
      </c>
    </row>
    <row r="47" spans="2:19" ht="12.5" x14ac:dyDescent="0.25">
      <c r="B47" s="18" t="s">
        <v>231</v>
      </c>
      <c r="C47" s="19" t="s">
        <v>184</v>
      </c>
      <c r="D47" s="19" t="s">
        <v>584</v>
      </c>
      <c r="E47" s="19" t="s">
        <v>202</v>
      </c>
      <c r="F47" s="19" t="s">
        <v>23</v>
      </c>
      <c r="G47" s="19" t="s">
        <v>181</v>
      </c>
      <c r="H47" s="20">
        <v>38806</v>
      </c>
      <c r="I47" s="21">
        <v>14.5</v>
      </c>
      <c r="J47" s="22">
        <v>38810</v>
      </c>
      <c r="K47" s="23">
        <v>7365</v>
      </c>
      <c r="L47" s="23">
        <v>7886</v>
      </c>
      <c r="M47" s="24">
        <v>185600000</v>
      </c>
      <c r="N47" s="24">
        <v>354670000</v>
      </c>
      <c r="O47" s="25">
        <v>540270000</v>
      </c>
      <c r="P47" s="26">
        <v>8.6677482555018781E-2</v>
      </c>
      <c r="Q47" s="26">
        <v>0.14472147074610842</v>
      </c>
      <c r="R47" s="26">
        <v>0.7664336822329576</v>
      </c>
      <c r="S47" s="27">
        <v>2.1673644659151907E-3</v>
      </c>
    </row>
    <row r="48" spans="2:19" ht="12.5" x14ac:dyDescent="0.25">
      <c r="B48" s="18" t="s">
        <v>232</v>
      </c>
      <c r="C48" s="19" t="s">
        <v>184</v>
      </c>
      <c r="D48" s="19" t="s">
        <v>600</v>
      </c>
      <c r="E48" s="19" t="s">
        <v>211</v>
      </c>
      <c r="F48" s="19" t="s">
        <v>24</v>
      </c>
      <c r="G48" s="19" t="s">
        <v>181</v>
      </c>
      <c r="H48" s="20">
        <v>38818</v>
      </c>
      <c r="I48" s="21">
        <v>22</v>
      </c>
      <c r="J48" s="22">
        <v>38820</v>
      </c>
      <c r="K48" s="23">
        <v>5976</v>
      </c>
      <c r="L48" s="23">
        <v>6226</v>
      </c>
      <c r="M48" s="24">
        <v>66000000</v>
      </c>
      <c r="N48" s="24">
        <v>116599230</v>
      </c>
      <c r="O48" s="25">
        <v>182599230</v>
      </c>
      <c r="P48" s="26">
        <v>8.3145727260507118E-2</v>
      </c>
      <c r="Q48" s="26">
        <v>0.16557334615865185</v>
      </c>
      <c r="R48" s="26">
        <v>0.74989997325251612</v>
      </c>
      <c r="S48" s="27">
        <v>1.3809533283248906E-3</v>
      </c>
    </row>
    <row r="49" spans="2:19" ht="12.5" x14ac:dyDescent="0.25">
      <c r="B49" s="18" t="s">
        <v>233</v>
      </c>
      <c r="C49" s="19" t="s">
        <v>189</v>
      </c>
      <c r="D49" s="19" t="s">
        <v>601</v>
      </c>
      <c r="E49" s="19" t="s">
        <v>204</v>
      </c>
      <c r="F49" s="19" t="s">
        <v>24</v>
      </c>
      <c r="G49" s="19" t="s">
        <v>181</v>
      </c>
      <c r="H49" s="20">
        <v>38818</v>
      </c>
      <c r="I49" s="21">
        <v>43.5</v>
      </c>
      <c r="J49" s="22">
        <v>38820</v>
      </c>
      <c r="K49" s="23">
        <v>4291</v>
      </c>
      <c r="L49" s="23">
        <v>4842</v>
      </c>
      <c r="M49" s="24">
        <v>195750000</v>
      </c>
      <c r="N49" s="24">
        <v>413250000</v>
      </c>
      <c r="O49" s="25">
        <v>609000000</v>
      </c>
      <c r="P49" s="26">
        <v>6.1074571428571429E-2</v>
      </c>
      <c r="Q49" s="26">
        <v>0.15003042857142856</v>
      </c>
      <c r="R49" s="26">
        <v>0.46428285714285716</v>
      </c>
      <c r="S49" s="27">
        <v>0.32461214285714285</v>
      </c>
    </row>
    <row r="50" spans="2:19" ht="12.5" x14ac:dyDescent="0.25">
      <c r="B50" s="18" t="s">
        <v>208</v>
      </c>
      <c r="C50" s="19" t="s">
        <v>179</v>
      </c>
      <c r="D50" s="19" t="s">
        <v>593</v>
      </c>
      <c r="E50" s="19" t="s">
        <v>202</v>
      </c>
      <c r="F50" s="19" t="s">
        <v>24</v>
      </c>
      <c r="G50" s="19" t="s">
        <v>181</v>
      </c>
      <c r="H50" s="20">
        <v>38819</v>
      </c>
      <c r="I50" s="21">
        <v>53.75</v>
      </c>
      <c r="J50" s="22">
        <v>38824</v>
      </c>
      <c r="K50" s="23">
        <v>0</v>
      </c>
      <c r="L50" s="23">
        <v>140</v>
      </c>
      <c r="M50" s="24">
        <v>291506030</v>
      </c>
      <c r="N50" s="24">
        <v>637570890</v>
      </c>
      <c r="O50" s="25">
        <v>929076920</v>
      </c>
      <c r="P50" s="26">
        <v>3.3927445066147307E-4</v>
      </c>
      <c r="Q50" s="26">
        <v>9.9578086343737576E-2</v>
      </c>
      <c r="R50" s="26">
        <v>0.8999848821604951</v>
      </c>
      <c r="S50" s="27">
        <v>9.7757045105848167E-5</v>
      </c>
    </row>
    <row r="51" spans="2:19" ht="12.5" x14ac:dyDescent="0.25">
      <c r="B51" s="18" t="s">
        <v>212</v>
      </c>
      <c r="C51" s="19" t="s">
        <v>179</v>
      </c>
      <c r="D51" s="19" t="s">
        <v>594</v>
      </c>
      <c r="E51" s="19" t="s">
        <v>187</v>
      </c>
      <c r="F51" s="19" t="s">
        <v>24</v>
      </c>
      <c r="G51" s="19" t="s">
        <v>181</v>
      </c>
      <c r="H51" s="20">
        <v>38826</v>
      </c>
      <c r="I51" s="21">
        <v>41</v>
      </c>
      <c r="J51" s="22">
        <v>38827</v>
      </c>
      <c r="K51" s="23">
        <v>2514</v>
      </c>
      <c r="L51" s="23">
        <v>2959</v>
      </c>
      <c r="M51" s="24">
        <v>156825000</v>
      </c>
      <c r="N51" s="24">
        <v>237214274</v>
      </c>
      <c r="O51" s="25">
        <v>394039274</v>
      </c>
      <c r="P51" s="26">
        <v>8.3502224704636932E-2</v>
      </c>
      <c r="Q51" s="26">
        <v>0.17417925452781136</v>
      </c>
      <c r="R51" s="26">
        <v>0.7360311627211048</v>
      </c>
      <c r="S51" s="27">
        <v>6.287358046446913E-3</v>
      </c>
    </row>
    <row r="52" spans="2:19" ht="12.5" x14ac:dyDescent="0.25">
      <c r="B52" s="18" t="s">
        <v>234</v>
      </c>
      <c r="C52" s="19" t="s">
        <v>179</v>
      </c>
      <c r="D52" s="19" t="s">
        <v>602</v>
      </c>
      <c r="E52" s="19" t="s">
        <v>180</v>
      </c>
      <c r="F52" s="19" t="s">
        <v>23</v>
      </c>
      <c r="G52" s="19" t="s">
        <v>181</v>
      </c>
      <c r="H52" s="20">
        <v>38832</v>
      </c>
      <c r="I52" s="21">
        <v>17</v>
      </c>
      <c r="J52" s="22">
        <v>38834</v>
      </c>
      <c r="K52" s="23">
        <v>15132</v>
      </c>
      <c r="L52" s="23">
        <v>16861</v>
      </c>
      <c r="M52" s="24">
        <v>0</v>
      </c>
      <c r="N52" s="24">
        <v>480434790</v>
      </c>
      <c r="O52" s="25">
        <v>480434790</v>
      </c>
      <c r="P52" s="26">
        <v>8.4696676923076919E-2</v>
      </c>
      <c r="Q52" s="26">
        <v>0.21285553846153846</v>
      </c>
      <c r="R52" s="26">
        <v>0.69714643076923077</v>
      </c>
      <c r="S52" s="27">
        <v>5.3013538461538457E-3</v>
      </c>
    </row>
    <row r="53" spans="2:19" ht="12.5" x14ac:dyDescent="0.25">
      <c r="B53" s="18" t="s">
        <v>235</v>
      </c>
      <c r="C53" s="19" t="s">
        <v>189</v>
      </c>
      <c r="D53" s="19" t="s">
        <v>598</v>
      </c>
      <c r="E53" s="19" t="s">
        <v>211</v>
      </c>
      <c r="F53" s="19" t="s">
        <v>24</v>
      </c>
      <c r="G53" s="19" t="s">
        <v>181</v>
      </c>
      <c r="H53" s="20">
        <v>38833</v>
      </c>
      <c r="I53" s="21">
        <v>8.25</v>
      </c>
      <c r="J53" s="22">
        <v>38835</v>
      </c>
      <c r="K53" s="23">
        <v>4084</v>
      </c>
      <c r="L53" s="23">
        <v>4335</v>
      </c>
      <c r="M53" s="24">
        <v>99000000</v>
      </c>
      <c r="N53" s="24">
        <v>136200207</v>
      </c>
      <c r="O53" s="25">
        <v>235200207</v>
      </c>
      <c r="P53" s="26">
        <v>0.11253085449538529</v>
      </c>
      <c r="Q53" s="26">
        <v>0.23322481290916422</v>
      </c>
      <c r="R53" s="26">
        <v>0.53813143054448742</v>
      </c>
      <c r="S53" s="27">
        <v>0.11611290205096311</v>
      </c>
    </row>
    <row r="54" spans="2:19" ht="12.5" x14ac:dyDescent="0.25">
      <c r="B54" s="18" t="s">
        <v>236</v>
      </c>
      <c r="C54" s="19" t="s">
        <v>179</v>
      </c>
      <c r="D54" s="19" t="s">
        <v>602</v>
      </c>
      <c r="E54" s="19" t="s">
        <v>202</v>
      </c>
      <c r="F54" s="19" t="s">
        <v>23</v>
      </c>
      <c r="G54" s="19" t="s">
        <v>181</v>
      </c>
      <c r="H54" s="20">
        <v>38834</v>
      </c>
      <c r="I54" s="21">
        <v>18</v>
      </c>
      <c r="J54" s="22">
        <v>38839</v>
      </c>
      <c r="K54" s="23">
        <v>14362</v>
      </c>
      <c r="L54" s="23">
        <v>15585</v>
      </c>
      <c r="M54" s="24">
        <v>100288746</v>
      </c>
      <c r="N54" s="24">
        <v>240683832</v>
      </c>
      <c r="O54" s="25">
        <v>340972578</v>
      </c>
      <c r="P54" s="26">
        <v>8.5677526706202378E-2</v>
      </c>
      <c r="Q54" s="26">
        <v>0.1551682562704737</v>
      </c>
      <c r="R54" s="26">
        <v>0.72076162534780119</v>
      </c>
      <c r="S54" s="27">
        <v>3.8392591675522794E-2</v>
      </c>
    </row>
    <row r="55" spans="2:19" ht="12.5" x14ac:dyDescent="0.25">
      <c r="B55" s="18" t="s">
        <v>237</v>
      </c>
      <c r="C55" s="19" t="s">
        <v>179</v>
      </c>
      <c r="D55" s="19" t="s">
        <v>603</v>
      </c>
      <c r="E55" s="19" t="s">
        <v>202</v>
      </c>
      <c r="F55" s="19" t="s">
        <v>23</v>
      </c>
      <c r="G55" s="19" t="s">
        <v>181</v>
      </c>
      <c r="H55" s="20">
        <v>38834</v>
      </c>
      <c r="I55" s="21">
        <v>1000</v>
      </c>
      <c r="J55" s="22">
        <v>38839</v>
      </c>
      <c r="K55" s="23">
        <v>3</v>
      </c>
      <c r="L55" s="23">
        <v>39</v>
      </c>
      <c r="M55" s="24">
        <v>583200000</v>
      </c>
      <c r="N55" s="24">
        <v>0</v>
      </c>
      <c r="O55" s="25">
        <v>583200000</v>
      </c>
      <c r="P55" s="26">
        <v>1.5432098765432098E-3</v>
      </c>
      <c r="Q55" s="26">
        <v>3.137860082304527E-2</v>
      </c>
      <c r="R55" s="26">
        <v>0.82407407407407407</v>
      </c>
      <c r="S55" s="27">
        <v>0.14300411522633744</v>
      </c>
    </row>
    <row r="56" spans="2:19" ht="12.5" x14ac:dyDescent="0.25">
      <c r="B56" s="18" t="s">
        <v>238</v>
      </c>
      <c r="C56" s="19" t="s">
        <v>179</v>
      </c>
      <c r="D56" s="19" t="s">
        <v>582</v>
      </c>
      <c r="E56" s="19" t="s">
        <v>187</v>
      </c>
      <c r="F56" s="19" t="s">
        <v>23</v>
      </c>
      <c r="G56" s="19" t="s">
        <v>181</v>
      </c>
      <c r="H56" s="20">
        <v>38848</v>
      </c>
      <c r="I56" s="21">
        <v>22</v>
      </c>
      <c r="J56" s="22">
        <v>38852</v>
      </c>
      <c r="K56" s="23">
        <v>11198</v>
      </c>
      <c r="L56" s="23">
        <v>12203</v>
      </c>
      <c r="M56" s="24">
        <v>155048652</v>
      </c>
      <c r="N56" s="24">
        <v>297691372</v>
      </c>
      <c r="O56" s="25">
        <v>452740024</v>
      </c>
      <c r="P56" s="26">
        <v>7.5820524797742705E-2</v>
      </c>
      <c r="Q56" s="26">
        <v>0.19384417844405805</v>
      </c>
      <c r="R56" s="26">
        <v>0.72849599784880725</v>
      </c>
      <c r="S56" s="27">
        <v>1.8392989093919383E-3</v>
      </c>
    </row>
    <row r="57" spans="2:19" ht="12.5" x14ac:dyDescent="0.25">
      <c r="B57" s="18" t="s">
        <v>239</v>
      </c>
      <c r="C57" s="19" t="s">
        <v>240</v>
      </c>
      <c r="D57" s="19" t="s">
        <v>590</v>
      </c>
      <c r="E57" s="19" t="s">
        <v>202</v>
      </c>
      <c r="F57" s="19" t="s">
        <v>23</v>
      </c>
      <c r="G57" s="19" t="s">
        <v>181</v>
      </c>
      <c r="H57" s="20">
        <v>38867</v>
      </c>
      <c r="I57" s="21">
        <v>34.270000000000003</v>
      </c>
      <c r="J57" s="22">
        <v>38869</v>
      </c>
      <c r="K57" s="23">
        <v>2356</v>
      </c>
      <c r="L57" s="23">
        <v>2524</v>
      </c>
      <c r="M57" s="24">
        <v>705980848.5</v>
      </c>
      <c r="N57" s="24">
        <v>0</v>
      </c>
      <c r="O57" s="25">
        <v>705980848.5</v>
      </c>
      <c r="P57" s="26">
        <v>3.9467626944223975E-2</v>
      </c>
      <c r="Q57" s="26">
        <v>0.17410839460209149</v>
      </c>
      <c r="R57" s="26">
        <v>0.75689507224490482</v>
      </c>
      <c r="S57" s="27">
        <v>2.9528906208779539E-2</v>
      </c>
    </row>
    <row r="58" spans="2:19" ht="12.5" x14ac:dyDescent="0.25">
      <c r="B58" s="18" t="s">
        <v>241</v>
      </c>
      <c r="C58" s="19" t="s">
        <v>179</v>
      </c>
      <c r="D58" s="19" t="s">
        <v>597</v>
      </c>
      <c r="E58" s="19" t="s">
        <v>180</v>
      </c>
      <c r="F58" s="19" t="s">
        <v>23</v>
      </c>
      <c r="G58" s="19" t="s">
        <v>181</v>
      </c>
      <c r="H58" s="20">
        <v>38868</v>
      </c>
      <c r="I58" s="21">
        <v>18</v>
      </c>
      <c r="J58" s="22">
        <v>38870</v>
      </c>
      <c r="K58" s="23">
        <v>5470</v>
      </c>
      <c r="L58" s="23">
        <v>5973</v>
      </c>
      <c r="M58" s="24">
        <v>150697674</v>
      </c>
      <c r="N58" s="24">
        <v>166314834</v>
      </c>
      <c r="O58" s="25">
        <v>317012508</v>
      </c>
      <c r="P58" s="26">
        <v>0.13531041986984157</v>
      </c>
      <c r="Q58" s="26">
        <v>0.13003502633668229</v>
      </c>
      <c r="R58" s="26">
        <v>0.71698253874368112</v>
      </c>
      <c r="S58" s="27">
        <v>1.7672015049795001E-2</v>
      </c>
    </row>
    <row r="59" spans="2:19" ht="12.5" x14ac:dyDescent="0.25">
      <c r="B59" s="18" t="s">
        <v>198</v>
      </c>
      <c r="C59" s="19" t="s">
        <v>179</v>
      </c>
      <c r="D59" s="19" t="s">
        <v>588</v>
      </c>
      <c r="E59" s="19" t="s">
        <v>187</v>
      </c>
      <c r="F59" s="19" t="s">
        <v>24</v>
      </c>
      <c r="G59" s="19" t="s">
        <v>181</v>
      </c>
      <c r="H59" s="20">
        <v>38881</v>
      </c>
      <c r="I59" s="21">
        <v>33.5</v>
      </c>
      <c r="J59" s="22">
        <v>38882</v>
      </c>
      <c r="K59" s="23">
        <v>272</v>
      </c>
      <c r="L59" s="23">
        <v>350</v>
      </c>
      <c r="M59" s="24">
        <v>0</v>
      </c>
      <c r="N59" s="24">
        <v>201000000</v>
      </c>
      <c r="O59" s="25">
        <v>201000000</v>
      </c>
      <c r="P59" s="26">
        <v>3.1793166666666664E-2</v>
      </c>
      <c r="Q59" s="26">
        <v>0.42966833333333332</v>
      </c>
      <c r="R59" s="26">
        <v>0.5383</v>
      </c>
      <c r="S59" s="27">
        <v>2.385E-4</v>
      </c>
    </row>
    <row r="60" spans="2:19" ht="12.5" x14ac:dyDescent="0.25">
      <c r="B60" s="18" t="s">
        <v>242</v>
      </c>
      <c r="C60" s="19" t="s">
        <v>179</v>
      </c>
      <c r="D60" s="19" t="s">
        <v>591</v>
      </c>
      <c r="E60" s="19" t="s">
        <v>243</v>
      </c>
      <c r="F60" s="19" t="s">
        <v>24</v>
      </c>
      <c r="G60" s="19" t="s">
        <v>181</v>
      </c>
      <c r="H60" s="20">
        <v>38894</v>
      </c>
      <c r="I60" s="21">
        <v>43.5</v>
      </c>
      <c r="J60" s="22">
        <v>38896</v>
      </c>
      <c r="K60" s="23">
        <v>48602</v>
      </c>
      <c r="L60" s="23">
        <v>52923</v>
      </c>
      <c r="M60" s="24">
        <v>0</v>
      </c>
      <c r="N60" s="24">
        <v>2273208949.5</v>
      </c>
      <c r="O60" s="25">
        <v>2273208949.5</v>
      </c>
      <c r="P60" s="26">
        <v>0.28020221794397787</v>
      </c>
      <c r="Q60" s="26">
        <v>0.1857223963476218</v>
      </c>
      <c r="R60" s="26">
        <v>0.5086859678052662</v>
      </c>
      <c r="S60" s="27">
        <v>2.5389417903134117E-2</v>
      </c>
    </row>
    <row r="61" spans="2:19" ht="12.5" x14ac:dyDescent="0.25">
      <c r="B61" s="18" t="s">
        <v>218</v>
      </c>
      <c r="C61" s="19" t="s">
        <v>179</v>
      </c>
      <c r="D61" s="19" t="s">
        <v>596</v>
      </c>
      <c r="E61" s="19" t="s">
        <v>202</v>
      </c>
      <c r="F61" s="19" t="s">
        <v>24</v>
      </c>
      <c r="G61" s="19" t="s">
        <v>181</v>
      </c>
      <c r="H61" s="20">
        <v>38917</v>
      </c>
      <c r="I61" s="21">
        <v>29.5</v>
      </c>
      <c r="J61" s="22">
        <v>38919</v>
      </c>
      <c r="K61" s="23">
        <v>1283</v>
      </c>
      <c r="L61" s="23">
        <v>1778</v>
      </c>
      <c r="M61" s="24">
        <v>728650000</v>
      </c>
      <c r="N61" s="24">
        <v>109297500</v>
      </c>
      <c r="O61" s="25">
        <v>837947500</v>
      </c>
      <c r="P61" s="26">
        <v>3.8783664847738077E-2</v>
      </c>
      <c r="Q61" s="26">
        <v>0.20289628586516459</v>
      </c>
      <c r="R61" s="26">
        <v>0.75482721351874671</v>
      </c>
      <c r="S61" s="27">
        <v>3.4928357683506423E-3</v>
      </c>
    </row>
    <row r="62" spans="2:19" ht="12.5" x14ac:dyDescent="0.25">
      <c r="B62" s="18" t="s">
        <v>244</v>
      </c>
      <c r="C62" s="19" t="s">
        <v>179</v>
      </c>
      <c r="D62" s="19" t="s">
        <v>604</v>
      </c>
      <c r="E62" s="19" t="s">
        <v>187</v>
      </c>
      <c r="F62" s="19" t="s">
        <v>23</v>
      </c>
      <c r="G62" s="19" t="s">
        <v>181</v>
      </c>
      <c r="H62" s="20">
        <v>38918</v>
      </c>
      <c r="I62" s="21">
        <v>815</v>
      </c>
      <c r="J62" s="22">
        <v>38922</v>
      </c>
      <c r="K62" s="23">
        <v>17</v>
      </c>
      <c r="L62" s="23">
        <v>110</v>
      </c>
      <c r="M62" s="24">
        <v>1118895570</v>
      </c>
      <c r="N62" s="24">
        <v>0</v>
      </c>
      <c r="O62" s="25">
        <v>1118895570</v>
      </c>
      <c r="P62" s="26">
        <v>4.2011655823986317E-3</v>
      </c>
      <c r="Q62" s="26">
        <v>0.1100774254155366</v>
      </c>
      <c r="R62" s="26">
        <v>0.75777318940094129</v>
      </c>
      <c r="S62" s="27">
        <v>0.12794821960112343</v>
      </c>
    </row>
    <row r="63" spans="2:19" ht="12.5" x14ac:dyDescent="0.25">
      <c r="B63" s="18" t="s">
        <v>245</v>
      </c>
      <c r="C63" s="19" t="s">
        <v>179</v>
      </c>
      <c r="D63" s="19" t="s">
        <v>596</v>
      </c>
      <c r="E63" s="19" t="s">
        <v>185</v>
      </c>
      <c r="F63" s="19" t="s">
        <v>23</v>
      </c>
      <c r="G63" s="19" t="s">
        <v>181</v>
      </c>
      <c r="H63" s="20">
        <v>38923</v>
      </c>
      <c r="I63" s="21">
        <v>25</v>
      </c>
      <c r="J63" s="22">
        <v>38925</v>
      </c>
      <c r="K63" s="23">
        <v>6</v>
      </c>
      <c r="L63" s="23">
        <v>37</v>
      </c>
      <c r="M63" s="24">
        <v>163770250</v>
      </c>
      <c r="N63" s="24">
        <v>0</v>
      </c>
      <c r="O63" s="25">
        <v>163770250</v>
      </c>
      <c r="P63" s="26">
        <v>1.1062237531129828E-2</v>
      </c>
      <c r="Q63" s="26">
        <v>3.5952271976171943E-2</v>
      </c>
      <c r="R63" s="26">
        <v>0.83197014302090344</v>
      </c>
      <c r="S63" s="27">
        <v>0.12101534747179475</v>
      </c>
    </row>
    <row r="64" spans="2:19" ht="12.5" x14ac:dyDescent="0.25">
      <c r="B64" s="18" t="s">
        <v>246</v>
      </c>
      <c r="C64" s="19" t="s">
        <v>189</v>
      </c>
      <c r="D64" s="19" t="s">
        <v>584</v>
      </c>
      <c r="E64" s="19" t="s">
        <v>180</v>
      </c>
      <c r="F64" s="19" t="s">
        <v>24</v>
      </c>
      <c r="G64" s="19" t="s">
        <v>181</v>
      </c>
      <c r="H64" s="20">
        <v>38925</v>
      </c>
      <c r="I64" s="21">
        <v>1.4500000000000001E-2</v>
      </c>
      <c r="J64" s="22">
        <v>38926</v>
      </c>
      <c r="K64" s="23">
        <v>3036</v>
      </c>
      <c r="L64" s="23">
        <v>4049</v>
      </c>
      <c r="M64" s="24">
        <v>3199999999.9794998</v>
      </c>
      <c r="N64" s="24">
        <v>0</v>
      </c>
      <c r="O64" s="25">
        <v>3199999999.9794998</v>
      </c>
      <c r="P64" s="26">
        <v>2.415954203140477E-2</v>
      </c>
      <c r="Q64" s="26">
        <v>0.25403699986100237</v>
      </c>
      <c r="R64" s="26">
        <v>0.30451281029882576</v>
      </c>
      <c r="S64" s="27">
        <v>0.41729064780876701</v>
      </c>
    </row>
    <row r="65" spans="2:19" ht="12.5" x14ac:dyDescent="0.25">
      <c r="B65" s="18" t="s">
        <v>247</v>
      </c>
      <c r="C65" s="19" t="s">
        <v>179</v>
      </c>
      <c r="D65" s="19" t="s">
        <v>587</v>
      </c>
      <c r="E65" s="19" t="s">
        <v>202</v>
      </c>
      <c r="F65" s="19" t="s">
        <v>23</v>
      </c>
      <c r="G65" s="19" t="s">
        <v>181</v>
      </c>
      <c r="H65" s="20">
        <v>38980</v>
      </c>
      <c r="I65" s="21">
        <v>21.5</v>
      </c>
      <c r="J65" s="22">
        <v>38982</v>
      </c>
      <c r="K65" s="23">
        <v>3061</v>
      </c>
      <c r="L65" s="23">
        <v>3596</v>
      </c>
      <c r="M65" s="24">
        <v>474075000</v>
      </c>
      <c r="N65" s="24">
        <v>268212328</v>
      </c>
      <c r="O65" s="25">
        <v>742287328</v>
      </c>
      <c r="P65" s="26">
        <v>6.8844331665594588E-2</v>
      </c>
      <c r="Q65" s="26">
        <v>0.16694425302111585</v>
      </c>
      <c r="R65" s="26">
        <v>0.75879727937373598</v>
      </c>
      <c r="S65" s="27">
        <v>5.4141359395535847E-3</v>
      </c>
    </row>
    <row r="66" spans="2:19" ht="12.5" x14ac:dyDescent="0.25">
      <c r="B66" s="18" t="s">
        <v>248</v>
      </c>
      <c r="C66" s="19" t="s">
        <v>184</v>
      </c>
      <c r="D66" s="19" t="s">
        <v>584</v>
      </c>
      <c r="E66" s="19" t="s">
        <v>202</v>
      </c>
      <c r="F66" s="19" t="s">
        <v>24</v>
      </c>
      <c r="G66" s="19" t="s">
        <v>181</v>
      </c>
      <c r="H66" s="20">
        <v>38981</v>
      </c>
      <c r="I66" s="21">
        <v>8.5000000000000006E-2</v>
      </c>
      <c r="J66" s="22">
        <v>38985</v>
      </c>
      <c r="K66" s="23">
        <v>3660</v>
      </c>
      <c r="L66" s="23">
        <v>4478</v>
      </c>
      <c r="M66" s="24">
        <v>0</v>
      </c>
      <c r="N66" s="24">
        <v>1345481065</v>
      </c>
      <c r="O66" s="25">
        <v>1345481065</v>
      </c>
      <c r="P66" s="26">
        <v>8.8191378598107578E-2</v>
      </c>
      <c r="Q66" s="26">
        <v>0.3037705831296853</v>
      </c>
      <c r="R66" s="26">
        <v>0.60090558189683629</v>
      </c>
      <c r="S66" s="27">
        <v>7.1324563753708417E-3</v>
      </c>
    </row>
    <row r="67" spans="2:19" ht="12.5" x14ac:dyDescent="0.25">
      <c r="B67" s="18" t="s">
        <v>249</v>
      </c>
      <c r="C67" s="19" t="s">
        <v>179</v>
      </c>
      <c r="D67" s="19" t="s">
        <v>596</v>
      </c>
      <c r="E67" s="19" t="s">
        <v>250</v>
      </c>
      <c r="F67" s="19" t="s">
        <v>23</v>
      </c>
      <c r="G67" s="19" t="s">
        <v>181</v>
      </c>
      <c r="H67" s="20">
        <v>38995</v>
      </c>
      <c r="I67" s="21">
        <v>15</v>
      </c>
      <c r="J67" s="22">
        <v>38999</v>
      </c>
      <c r="K67" s="23">
        <v>4624</v>
      </c>
      <c r="L67" s="23">
        <v>5131</v>
      </c>
      <c r="M67" s="24">
        <v>360573750</v>
      </c>
      <c r="N67" s="24">
        <v>166773750</v>
      </c>
      <c r="O67" s="25">
        <v>527347500</v>
      </c>
      <c r="P67" s="26">
        <v>8.6502840220756494E-2</v>
      </c>
      <c r="Q67" s="26">
        <v>0.2590074034190335</v>
      </c>
      <c r="R67" s="26">
        <v>0.65090281329923272</v>
      </c>
      <c r="S67" s="27">
        <v>3.5869430609772514E-3</v>
      </c>
    </row>
    <row r="68" spans="2:19" ht="12.5" x14ac:dyDescent="0.25">
      <c r="B68" s="18" t="s">
        <v>251</v>
      </c>
      <c r="C68" s="19" t="s">
        <v>184</v>
      </c>
      <c r="D68" s="19" t="s">
        <v>605</v>
      </c>
      <c r="E68" s="19" t="s">
        <v>202</v>
      </c>
      <c r="F68" s="19" t="s">
        <v>23</v>
      </c>
      <c r="G68" s="19" t="s">
        <v>181</v>
      </c>
      <c r="H68" s="20">
        <v>39000</v>
      </c>
      <c r="I68" s="21">
        <v>23</v>
      </c>
      <c r="J68" s="22">
        <v>39003</v>
      </c>
      <c r="K68" s="23">
        <v>4209</v>
      </c>
      <c r="L68" s="23">
        <v>4873</v>
      </c>
      <c r="M68" s="24">
        <v>924968759</v>
      </c>
      <c r="N68" s="24">
        <v>8433341</v>
      </c>
      <c r="O68" s="25">
        <v>933402100</v>
      </c>
      <c r="P68" s="26">
        <v>8.4064428925433657E-2</v>
      </c>
      <c r="Q68" s="26">
        <v>0.1400592120083945</v>
      </c>
      <c r="R68" s="26">
        <v>0.77116885026262438</v>
      </c>
      <c r="S68" s="27">
        <v>4.7075088035475037E-3</v>
      </c>
    </row>
    <row r="69" spans="2:19" ht="12.5" x14ac:dyDescent="0.25">
      <c r="B69" s="18" t="s">
        <v>252</v>
      </c>
      <c r="C69" s="19" t="s">
        <v>179</v>
      </c>
      <c r="D69" s="19" t="s">
        <v>592</v>
      </c>
      <c r="E69" s="19" t="s">
        <v>187</v>
      </c>
      <c r="F69" s="19" t="s">
        <v>23</v>
      </c>
      <c r="G69" s="19" t="s">
        <v>181</v>
      </c>
      <c r="H69" s="20">
        <v>39006</v>
      </c>
      <c r="I69" s="21">
        <v>21</v>
      </c>
      <c r="J69" s="22">
        <v>39008</v>
      </c>
      <c r="K69" s="23">
        <v>3363</v>
      </c>
      <c r="L69" s="23">
        <v>3737</v>
      </c>
      <c r="M69" s="24">
        <v>0</v>
      </c>
      <c r="N69" s="24">
        <v>410766300</v>
      </c>
      <c r="O69" s="25">
        <v>410766300</v>
      </c>
      <c r="P69" s="26">
        <v>8.4262434984598289E-2</v>
      </c>
      <c r="Q69" s="26">
        <v>0.20212790991263949</v>
      </c>
      <c r="R69" s="26">
        <v>0.70858203302529921</v>
      </c>
      <c r="S69" s="27">
        <v>5.0276220774630107E-3</v>
      </c>
    </row>
    <row r="70" spans="2:19" ht="12.5" x14ac:dyDescent="0.25">
      <c r="B70" s="18" t="s">
        <v>255</v>
      </c>
      <c r="C70" s="19" t="s">
        <v>179</v>
      </c>
      <c r="D70" s="19" t="s">
        <v>606</v>
      </c>
      <c r="E70" s="19" t="s">
        <v>202</v>
      </c>
      <c r="F70" s="19" t="s">
        <v>24</v>
      </c>
      <c r="G70" s="19" t="s">
        <v>181</v>
      </c>
      <c r="H70" s="20">
        <v>39016</v>
      </c>
      <c r="I70" s="21">
        <v>25</v>
      </c>
      <c r="J70" s="22">
        <v>39017</v>
      </c>
      <c r="K70" s="23">
        <v>4212</v>
      </c>
      <c r="L70" s="23">
        <v>4917</v>
      </c>
      <c r="M70" s="24">
        <v>800000000</v>
      </c>
      <c r="N70" s="24">
        <v>0</v>
      </c>
      <c r="O70" s="25">
        <v>800000000</v>
      </c>
      <c r="P70" s="26">
        <v>7.4491956521739136E-2</v>
      </c>
      <c r="Q70" s="26">
        <v>0.14214073369565217</v>
      </c>
      <c r="R70" s="26">
        <v>0.47463559782608694</v>
      </c>
      <c r="S70" s="27">
        <v>0.30873171195652171</v>
      </c>
    </row>
    <row r="71" spans="2:19" ht="12.5" x14ac:dyDescent="0.25">
      <c r="B71" s="18" t="s">
        <v>253</v>
      </c>
      <c r="C71" s="19" t="s">
        <v>179</v>
      </c>
      <c r="D71" s="19" t="s">
        <v>596</v>
      </c>
      <c r="E71" s="19" t="s">
        <v>202</v>
      </c>
      <c r="F71" s="19" t="s">
        <v>23</v>
      </c>
      <c r="G71" s="19" t="s">
        <v>181</v>
      </c>
      <c r="H71" s="20">
        <v>39009</v>
      </c>
      <c r="I71" s="21">
        <v>16</v>
      </c>
      <c r="J71" s="22">
        <v>39013</v>
      </c>
      <c r="K71" s="23">
        <v>4272</v>
      </c>
      <c r="L71" s="23">
        <v>4735</v>
      </c>
      <c r="M71" s="24">
        <v>940000000</v>
      </c>
      <c r="N71" s="24">
        <v>248000000</v>
      </c>
      <c r="O71" s="25">
        <v>1188000000</v>
      </c>
      <c r="P71" s="26">
        <v>7.0529252525252523E-2</v>
      </c>
      <c r="Q71" s="26">
        <v>5.0653804713804713E-2</v>
      </c>
      <c r="R71" s="26">
        <v>0.87445925925925927</v>
      </c>
      <c r="S71" s="27">
        <v>4.3576835016835014E-3</v>
      </c>
    </row>
    <row r="72" spans="2:19" ht="12.5" x14ac:dyDescent="0.25">
      <c r="B72" s="18" t="s">
        <v>254</v>
      </c>
      <c r="C72" s="19" t="s">
        <v>179</v>
      </c>
      <c r="D72" s="19" t="s">
        <v>607</v>
      </c>
      <c r="E72" s="19" t="s">
        <v>202</v>
      </c>
      <c r="F72" s="19" t="s">
        <v>23</v>
      </c>
      <c r="G72" s="19" t="s">
        <v>181</v>
      </c>
      <c r="H72" s="20">
        <v>39014</v>
      </c>
      <c r="I72" s="21">
        <v>22.5</v>
      </c>
      <c r="J72" s="22">
        <v>39016</v>
      </c>
      <c r="K72" s="23">
        <v>4514</v>
      </c>
      <c r="L72" s="23">
        <v>4995</v>
      </c>
      <c r="M72" s="24">
        <v>310500000</v>
      </c>
      <c r="N72" s="24">
        <v>90562500</v>
      </c>
      <c r="O72" s="25">
        <v>401062500</v>
      </c>
      <c r="P72" s="26">
        <v>8.9045049088359043E-2</v>
      </c>
      <c r="Q72" s="26">
        <v>0.20718092566619917</v>
      </c>
      <c r="R72" s="26">
        <v>0.70000706872370266</v>
      </c>
      <c r="S72" s="27">
        <v>3.7669565217391303E-3</v>
      </c>
    </row>
    <row r="73" spans="2:19" ht="12.5" x14ac:dyDescent="0.25">
      <c r="B73" s="18" t="s">
        <v>256</v>
      </c>
      <c r="C73" s="19" t="s">
        <v>184</v>
      </c>
      <c r="D73" s="19" t="s">
        <v>584</v>
      </c>
      <c r="E73" s="19" t="s">
        <v>204</v>
      </c>
      <c r="F73" s="19" t="s">
        <v>23</v>
      </c>
      <c r="G73" s="19" t="s">
        <v>181</v>
      </c>
      <c r="H73" s="20">
        <v>39015</v>
      </c>
      <c r="I73" s="21">
        <v>21</v>
      </c>
      <c r="J73" s="22">
        <v>39017</v>
      </c>
      <c r="K73" s="23">
        <v>6258</v>
      </c>
      <c r="L73" s="23">
        <v>7326</v>
      </c>
      <c r="M73" s="24">
        <v>371360304</v>
      </c>
      <c r="N73" s="24">
        <v>255310209</v>
      </c>
      <c r="O73" s="25">
        <v>626670513</v>
      </c>
      <c r="P73" s="26">
        <v>7.8950110103552934E-2</v>
      </c>
      <c r="Q73" s="26">
        <v>0.23453110677955258</v>
      </c>
      <c r="R73" s="26">
        <v>0.64922140352884294</v>
      </c>
      <c r="S73" s="27">
        <v>3.7297379588051557E-2</v>
      </c>
    </row>
    <row r="74" spans="2:19" ht="12.5" x14ac:dyDescent="0.25">
      <c r="B74" s="18" t="s">
        <v>257</v>
      </c>
      <c r="C74" s="19" t="s">
        <v>179</v>
      </c>
      <c r="D74" s="19" t="s">
        <v>608</v>
      </c>
      <c r="E74" s="19" t="s">
        <v>258</v>
      </c>
      <c r="F74" s="19" t="s">
        <v>23</v>
      </c>
      <c r="G74" s="19" t="s">
        <v>181</v>
      </c>
      <c r="H74" s="20">
        <v>39030</v>
      </c>
      <c r="I74" s="21">
        <v>12</v>
      </c>
      <c r="J74" s="22">
        <v>39043</v>
      </c>
      <c r="K74" s="23">
        <v>9315</v>
      </c>
      <c r="L74" s="23">
        <v>9841</v>
      </c>
      <c r="M74" s="24">
        <v>378932220</v>
      </c>
      <c r="N74" s="24">
        <v>0</v>
      </c>
      <c r="O74" s="25">
        <v>378932220</v>
      </c>
      <c r="P74" s="26">
        <v>8.6182270104504452E-2</v>
      </c>
      <c r="Q74" s="26">
        <v>0.23107584202900358</v>
      </c>
      <c r="R74" s="26">
        <v>0.59089254472689401</v>
      </c>
      <c r="S74" s="27">
        <v>9.1849343139598E-2</v>
      </c>
    </row>
    <row r="75" spans="2:19" ht="12.5" x14ac:dyDescent="0.25">
      <c r="B75" s="18" t="s">
        <v>259</v>
      </c>
      <c r="C75" s="19" t="s">
        <v>179</v>
      </c>
      <c r="D75" s="19" t="s">
        <v>587</v>
      </c>
      <c r="E75" s="19" t="s">
        <v>204</v>
      </c>
      <c r="F75" s="19" t="s">
        <v>23</v>
      </c>
      <c r="G75" s="19" t="s">
        <v>181</v>
      </c>
      <c r="H75" s="20">
        <v>39050</v>
      </c>
      <c r="I75" s="21">
        <v>28</v>
      </c>
      <c r="J75" s="22">
        <v>39052</v>
      </c>
      <c r="K75" s="23">
        <v>8675</v>
      </c>
      <c r="L75" s="23">
        <v>9772</v>
      </c>
      <c r="M75" s="24">
        <v>161913052</v>
      </c>
      <c r="N75" s="24">
        <v>360118192</v>
      </c>
      <c r="O75" s="25">
        <v>522031244</v>
      </c>
      <c r="P75" s="26">
        <v>8.8629446094992737E-2</v>
      </c>
      <c r="Q75" s="26">
        <v>0.25896213215927744</v>
      </c>
      <c r="R75" s="26">
        <v>0.62709251938950994</v>
      </c>
      <c r="S75" s="27">
        <v>2.5315902356219888E-2</v>
      </c>
    </row>
    <row r="76" spans="2:19" ht="12.5" x14ac:dyDescent="0.25">
      <c r="B76" s="18" t="s">
        <v>260</v>
      </c>
      <c r="C76" s="19" t="s">
        <v>179</v>
      </c>
      <c r="D76" s="19" t="s">
        <v>609</v>
      </c>
      <c r="E76" s="19" t="s">
        <v>180</v>
      </c>
      <c r="F76" s="19" t="s">
        <v>23</v>
      </c>
      <c r="G76" s="19" t="s">
        <v>181</v>
      </c>
      <c r="H76" s="20">
        <v>39058</v>
      </c>
      <c r="I76" s="21">
        <v>23.5</v>
      </c>
      <c r="J76" s="22">
        <v>39062</v>
      </c>
      <c r="K76" s="23">
        <v>18466</v>
      </c>
      <c r="L76" s="23">
        <v>19543</v>
      </c>
      <c r="M76" s="24">
        <v>65800000</v>
      </c>
      <c r="N76" s="24">
        <v>538312150</v>
      </c>
      <c r="O76" s="25">
        <v>604112150</v>
      </c>
      <c r="P76" s="26">
        <v>9.3250077448747151E-2</v>
      </c>
      <c r="Q76" s="26">
        <v>0.25465326651480635</v>
      </c>
      <c r="R76" s="26">
        <v>0.64184878359908881</v>
      </c>
      <c r="S76" s="27">
        <v>1.0247872437357631E-2</v>
      </c>
    </row>
    <row r="77" spans="2:19" ht="12.5" x14ac:dyDescent="0.25">
      <c r="B77" s="18" t="s">
        <v>261</v>
      </c>
      <c r="C77" s="19" t="s">
        <v>179</v>
      </c>
      <c r="D77" s="19" t="s">
        <v>603</v>
      </c>
      <c r="E77" s="19" t="s">
        <v>202</v>
      </c>
      <c r="F77" s="19" t="s">
        <v>24</v>
      </c>
      <c r="G77" s="19" t="s">
        <v>181</v>
      </c>
      <c r="H77" s="20">
        <v>39063</v>
      </c>
      <c r="I77" s="21">
        <v>19.5</v>
      </c>
      <c r="J77" s="22">
        <v>39065</v>
      </c>
      <c r="K77" s="23">
        <v>6445</v>
      </c>
      <c r="L77" s="23">
        <v>6821</v>
      </c>
      <c r="M77" s="24">
        <v>341250000</v>
      </c>
      <c r="N77" s="24">
        <v>139670017.5</v>
      </c>
      <c r="O77" s="25">
        <v>480920017.5</v>
      </c>
      <c r="P77" s="26">
        <v>0.10242878718918334</v>
      </c>
      <c r="Q77" s="26">
        <v>0.10451032085040707</v>
      </c>
      <c r="R77" s="26">
        <v>0.74529113628097421</v>
      </c>
      <c r="S77" s="27">
        <v>4.7769755679435436E-2</v>
      </c>
    </row>
    <row r="78" spans="2:19" ht="12.5" x14ac:dyDescent="0.25">
      <c r="B78" s="18" t="s">
        <v>262</v>
      </c>
      <c r="C78" s="19" t="s">
        <v>179</v>
      </c>
      <c r="D78" s="19" t="s">
        <v>610</v>
      </c>
      <c r="E78" s="19" t="s">
        <v>180</v>
      </c>
      <c r="F78" s="19" t="s">
        <v>23</v>
      </c>
      <c r="G78" s="19" t="s">
        <v>181</v>
      </c>
      <c r="H78" s="20">
        <v>39065</v>
      </c>
      <c r="I78" s="21">
        <v>20</v>
      </c>
      <c r="J78" s="22">
        <v>39069</v>
      </c>
      <c r="K78" s="23">
        <v>9803</v>
      </c>
      <c r="L78" s="23">
        <v>10438</v>
      </c>
      <c r="M78" s="24">
        <v>0</v>
      </c>
      <c r="N78" s="24">
        <v>474720000</v>
      </c>
      <c r="O78" s="25">
        <v>474720000</v>
      </c>
      <c r="P78" s="26">
        <v>0.1081038506909336</v>
      </c>
      <c r="Q78" s="26">
        <v>0.17753437815975734</v>
      </c>
      <c r="R78" s="26">
        <v>0.71061151836872261</v>
      </c>
      <c r="S78" s="27">
        <v>3.7502527805864509E-3</v>
      </c>
    </row>
    <row r="79" spans="2:19" ht="13" thickBot="1" x14ac:dyDescent="0.3">
      <c r="B79" s="30" t="s">
        <v>263</v>
      </c>
      <c r="C79" s="31" t="s">
        <v>240</v>
      </c>
      <c r="D79" s="31" t="s">
        <v>593</v>
      </c>
      <c r="E79" s="31" t="s">
        <v>180</v>
      </c>
      <c r="F79" s="31" t="s">
        <v>23</v>
      </c>
      <c r="G79" s="31" t="s">
        <v>181</v>
      </c>
      <c r="H79" s="32">
        <v>39069</v>
      </c>
      <c r="I79" s="33">
        <v>26.84</v>
      </c>
      <c r="J79" s="34">
        <v>39071</v>
      </c>
      <c r="K79" s="35">
        <v>10039</v>
      </c>
      <c r="L79" s="35">
        <v>10805</v>
      </c>
      <c r="M79" s="36">
        <v>0</v>
      </c>
      <c r="N79" s="36">
        <v>849754936.79999995</v>
      </c>
      <c r="O79" s="37">
        <v>849754936.79999995</v>
      </c>
      <c r="P79" s="38">
        <v>9.8349116646167634E-2</v>
      </c>
      <c r="Q79" s="38">
        <v>0.20742772746195359</v>
      </c>
      <c r="R79" s="38">
        <v>0.69013348696557997</v>
      </c>
      <c r="S79" s="39">
        <v>4.0896689262988461E-3</v>
      </c>
    </row>
    <row r="80" spans="2:19" ht="13" thickTop="1" x14ac:dyDescent="0.25">
      <c r="B80" s="40" t="s">
        <v>264</v>
      </c>
      <c r="C80" s="41" t="s">
        <v>179</v>
      </c>
      <c r="D80" s="41" t="s">
        <v>596</v>
      </c>
      <c r="E80" s="41" t="s">
        <v>180</v>
      </c>
      <c r="F80" s="41" t="s">
        <v>23</v>
      </c>
      <c r="G80" s="41" t="s">
        <v>181</v>
      </c>
      <c r="H80" s="42">
        <v>39106</v>
      </c>
      <c r="I80" s="43">
        <v>14</v>
      </c>
      <c r="J80" s="44">
        <v>39108</v>
      </c>
      <c r="K80" s="45">
        <v>11826</v>
      </c>
      <c r="L80" s="45">
        <v>12422</v>
      </c>
      <c r="M80" s="46">
        <v>432263062</v>
      </c>
      <c r="N80" s="46">
        <v>216131538</v>
      </c>
      <c r="O80" s="47">
        <v>648394600</v>
      </c>
      <c r="P80" s="48">
        <v>9.4026454106280188E-2</v>
      </c>
      <c r="Q80" s="48">
        <v>6.179400966183575E-2</v>
      </c>
      <c r="R80" s="48">
        <v>0.8359644444444444</v>
      </c>
      <c r="S80" s="49">
        <v>8.2150917874396143E-3</v>
      </c>
    </row>
    <row r="81" spans="2:19" ht="12.5" x14ac:dyDescent="0.25">
      <c r="B81" s="18" t="s">
        <v>265</v>
      </c>
      <c r="C81" s="19" t="s">
        <v>179</v>
      </c>
      <c r="D81" s="19" t="s">
        <v>596</v>
      </c>
      <c r="E81" s="19" t="s">
        <v>266</v>
      </c>
      <c r="F81" s="19" t="s">
        <v>23</v>
      </c>
      <c r="G81" s="19" t="s">
        <v>181</v>
      </c>
      <c r="H81" s="20">
        <v>39111</v>
      </c>
      <c r="I81" s="21">
        <v>19.5</v>
      </c>
      <c r="J81" s="22">
        <v>39113</v>
      </c>
      <c r="K81" s="23">
        <v>13963</v>
      </c>
      <c r="L81" s="23">
        <v>14782</v>
      </c>
      <c r="M81" s="24">
        <v>448500000</v>
      </c>
      <c r="N81" s="24">
        <v>0</v>
      </c>
      <c r="O81" s="25">
        <v>448500000</v>
      </c>
      <c r="P81" s="26">
        <v>0.10657260869565217</v>
      </c>
      <c r="Q81" s="26">
        <v>0.22176391304347826</v>
      </c>
      <c r="R81" s="26">
        <v>0.66993608695652174</v>
      </c>
      <c r="S81" s="27">
        <v>1.727391304347826E-3</v>
      </c>
    </row>
    <row r="82" spans="2:19" ht="12.5" x14ac:dyDescent="0.25">
      <c r="B82" s="18" t="s">
        <v>267</v>
      </c>
      <c r="C82" s="19" t="s">
        <v>179</v>
      </c>
      <c r="D82" s="19" t="s">
        <v>596</v>
      </c>
      <c r="E82" s="19" t="s">
        <v>202</v>
      </c>
      <c r="F82" s="19" t="s">
        <v>23</v>
      </c>
      <c r="G82" s="19" t="s">
        <v>181</v>
      </c>
      <c r="H82" s="20">
        <v>39111</v>
      </c>
      <c r="I82" s="21">
        <v>14.5</v>
      </c>
      <c r="J82" s="22">
        <v>39113</v>
      </c>
      <c r="K82" s="23">
        <v>22002</v>
      </c>
      <c r="L82" s="23">
        <v>23552</v>
      </c>
      <c r="M82" s="24">
        <v>478500000</v>
      </c>
      <c r="N82" s="24">
        <v>43499985.5</v>
      </c>
      <c r="O82" s="25">
        <v>521999985.5</v>
      </c>
      <c r="P82" s="26">
        <v>0.1277443026025194</v>
      </c>
      <c r="Q82" s="26">
        <v>0.3806971831086276</v>
      </c>
      <c r="R82" s="26">
        <v>0.48324986674516585</v>
      </c>
      <c r="S82" s="27">
        <v>8.3086475436871393E-3</v>
      </c>
    </row>
    <row r="83" spans="2:19" ht="12.5" x14ac:dyDescent="0.25">
      <c r="B83" s="18" t="s">
        <v>268</v>
      </c>
      <c r="C83" s="19" t="s">
        <v>179</v>
      </c>
      <c r="D83" s="19" t="s">
        <v>596</v>
      </c>
      <c r="E83" s="19" t="s">
        <v>202</v>
      </c>
      <c r="F83" s="19" t="s">
        <v>23</v>
      </c>
      <c r="G83" s="19" t="s">
        <v>181</v>
      </c>
      <c r="H83" s="20">
        <v>39112</v>
      </c>
      <c r="I83" s="21">
        <v>13</v>
      </c>
      <c r="J83" s="22">
        <v>39114</v>
      </c>
      <c r="K83" s="23">
        <v>17187</v>
      </c>
      <c r="L83" s="23">
        <v>18216</v>
      </c>
      <c r="M83" s="24">
        <v>590652257</v>
      </c>
      <c r="N83" s="24">
        <v>200650827</v>
      </c>
      <c r="O83" s="25">
        <v>791303084</v>
      </c>
      <c r="P83" s="26">
        <v>0.10218897778807874</v>
      </c>
      <c r="Q83" s="26">
        <v>0.17260137616220186</v>
      </c>
      <c r="R83" s="26">
        <v>0.59367600702446843</v>
      </c>
      <c r="S83" s="27">
        <v>0.131533639025251</v>
      </c>
    </row>
    <row r="84" spans="2:19" ht="12.5" x14ac:dyDescent="0.25">
      <c r="B84" s="18" t="s">
        <v>269</v>
      </c>
      <c r="C84" s="19" t="s">
        <v>179</v>
      </c>
      <c r="D84" s="19" t="s">
        <v>603</v>
      </c>
      <c r="E84" s="19" t="s">
        <v>211</v>
      </c>
      <c r="F84" s="19" t="s">
        <v>23</v>
      </c>
      <c r="G84" s="19" t="s">
        <v>181</v>
      </c>
      <c r="H84" s="20">
        <v>39118</v>
      </c>
      <c r="I84" s="21">
        <v>30</v>
      </c>
      <c r="J84" s="22">
        <v>39120</v>
      </c>
      <c r="K84" s="23">
        <v>16710</v>
      </c>
      <c r="L84" s="23">
        <v>18100</v>
      </c>
      <c r="M84" s="24">
        <v>548677440</v>
      </c>
      <c r="N84" s="24">
        <v>0</v>
      </c>
      <c r="O84" s="25">
        <v>548677440</v>
      </c>
      <c r="P84" s="26">
        <v>9.1357610766719333E-2</v>
      </c>
      <c r="Q84" s="26">
        <v>0.1796770977133669</v>
      </c>
      <c r="R84" s="26">
        <v>0.72439976755741953</v>
      </c>
      <c r="S84" s="27">
        <v>4.5655239624942476E-3</v>
      </c>
    </row>
    <row r="85" spans="2:19" ht="12.5" x14ac:dyDescent="0.25">
      <c r="B85" s="18" t="s">
        <v>270</v>
      </c>
      <c r="C85" s="19" t="s">
        <v>179</v>
      </c>
      <c r="D85" s="19" t="s">
        <v>611</v>
      </c>
      <c r="E85" s="19" t="s">
        <v>266</v>
      </c>
      <c r="F85" s="19" t="s">
        <v>24</v>
      </c>
      <c r="G85" s="19" t="s">
        <v>181</v>
      </c>
      <c r="H85" s="20">
        <v>39119</v>
      </c>
      <c r="I85" s="21">
        <v>21.35</v>
      </c>
      <c r="J85" s="22">
        <v>39121</v>
      </c>
      <c r="K85" s="23">
        <v>3936</v>
      </c>
      <c r="L85" s="23">
        <v>4278</v>
      </c>
      <c r="M85" s="24">
        <v>0</v>
      </c>
      <c r="N85" s="24">
        <v>1789970677.6000001</v>
      </c>
      <c r="O85" s="25">
        <v>1789970677.6000001</v>
      </c>
      <c r="P85" s="26">
        <v>2.0537318884625285E-2</v>
      </c>
      <c r="Q85" s="26">
        <v>9.8686695855179057E-2</v>
      </c>
      <c r="R85" s="26">
        <v>0.88041722781906206</v>
      </c>
      <c r="S85" s="27">
        <v>3.5875744113362677E-4</v>
      </c>
    </row>
    <row r="86" spans="2:19" ht="12.5" x14ac:dyDescent="0.25">
      <c r="B86" s="18" t="s">
        <v>271</v>
      </c>
      <c r="C86" s="19" t="s">
        <v>189</v>
      </c>
      <c r="D86" s="19" t="s">
        <v>612</v>
      </c>
      <c r="E86" s="19" t="s">
        <v>202</v>
      </c>
      <c r="F86" s="19" t="s">
        <v>24</v>
      </c>
      <c r="G86" s="19" t="s">
        <v>181</v>
      </c>
      <c r="H86" s="20">
        <v>39120</v>
      </c>
      <c r="I86" s="21">
        <v>23</v>
      </c>
      <c r="J86" s="22">
        <v>39122</v>
      </c>
      <c r="K86" s="23">
        <v>2866</v>
      </c>
      <c r="L86" s="23">
        <v>3144</v>
      </c>
      <c r="M86" s="24">
        <v>0</v>
      </c>
      <c r="N86" s="24">
        <v>543696011</v>
      </c>
      <c r="O86" s="25">
        <v>543696011</v>
      </c>
      <c r="P86" s="26">
        <v>9.8276757921180652E-2</v>
      </c>
      <c r="Q86" s="26">
        <v>0.3183769796794188</v>
      </c>
      <c r="R86" s="26">
        <v>0.57541731678623453</v>
      </c>
      <c r="S86" s="27">
        <v>7.9289456131660038E-3</v>
      </c>
    </row>
    <row r="87" spans="2:19" ht="12.5" x14ac:dyDescent="0.25">
      <c r="B87" s="18" t="s">
        <v>272</v>
      </c>
      <c r="C87" s="19" t="s">
        <v>179</v>
      </c>
      <c r="D87" s="19" t="s">
        <v>592</v>
      </c>
      <c r="E87" s="19" t="s">
        <v>180</v>
      </c>
      <c r="F87" s="19" t="s">
        <v>23</v>
      </c>
      <c r="G87" s="19" t="s">
        <v>181</v>
      </c>
      <c r="H87" s="20">
        <v>39121</v>
      </c>
      <c r="I87" s="21">
        <v>20</v>
      </c>
      <c r="J87" s="22">
        <v>39125</v>
      </c>
      <c r="K87" s="23">
        <v>24369</v>
      </c>
      <c r="L87" s="23">
        <v>25864</v>
      </c>
      <c r="M87" s="24">
        <v>260000000</v>
      </c>
      <c r="N87" s="24">
        <v>163680000</v>
      </c>
      <c r="O87" s="25">
        <v>423680000</v>
      </c>
      <c r="P87" s="26">
        <v>0.1025470166163142</v>
      </c>
      <c r="Q87" s="26">
        <v>0.28305664652567974</v>
      </c>
      <c r="R87" s="26">
        <v>0.5342703455438067</v>
      </c>
      <c r="S87" s="27">
        <v>8.0125991314199396E-2</v>
      </c>
    </row>
    <row r="88" spans="2:19" ht="12.5" x14ac:dyDescent="0.25">
      <c r="B88" s="18" t="s">
        <v>273</v>
      </c>
      <c r="C88" s="19" t="s">
        <v>179</v>
      </c>
      <c r="D88" s="19" t="s">
        <v>613</v>
      </c>
      <c r="E88" s="19" t="s">
        <v>202</v>
      </c>
      <c r="F88" s="19" t="s">
        <v>23</v>
      </c>
      <c r="G88" s="19" t="s">
        <v>181</v>
      </c>
      <c r="H88" s="20">
        <v>39127</v>
      </c>
      <c r="I88" s="21">
        <v>18</v>
      </c>
      <c r="J88" s="22">
        <v>39129</v>
      </c>
      <c r="K88" s="23">
        <v>14427</v>
      </c>
      <c r="L88" s="23">
        <v>15645</v>
      </c>
      <c r="M88" s="24">
        <v>1076400000</v>
      </c>
      <c r="N88" s="24">
        <v>0</v>
      </c>
      <c r="O88" s="25">
        <v>1076400000</v>
      </c>
      <c r="P88" s="26">
        <v>9.1264498327759194E-2</v>
      </c>
      <c r="Q88" s="26">
        <v>0.14677496655518393</v>
      </c>
      <c r="R88" s="26">
        <v>0.75946956521739128</v>
      </c>
      <c r="S88" s="27">
        <v>2.4909698996655517E-3</v>
      </c>
    </row>
    <row r="89" spans="2:19" ht="12.5" x14ac:dyDescent="0.25">
      <c r="B89" s="18" t="s">
        <v>274</v>
      </c>
      <c r="C89" s="19" t="s">
        <v>184</v>
      </c>
      <c r="D89" s="19" t="s">
        <v>614</v>
      </c>
      <c r="E89" s="19" t="s">
        <v>202</v>
      </c>
      <c r="F89" s="19" t="s">
        <v>23</v>
      </c>
      <c r="G89" s="19" t="s">
        <v>181</v>
      </c>
      <c r="H89" s="20">
        <v>39149</v>
      </c>
      <c r="I89" s="21">
        <v>18</v>
      </c>
      <c r="J89" s="22">
        <v>39153</v>
      </c>
      <c r="K89" s="23">
        <v>13593</v>
      </c>
      <c r="L89" s="23">
        <v>14651</v>
      </c>
      <c r="M89" s="24">
        <v>426825000</v>
      </c>
      <c r="N89" s="24">
        <v>85500000</v>
      </c>
      <c r="O89" s="25">
        <v>512325000</v>
      </c>
      <c r="P89" s="26">
        <v>9.0977953447518661E-2</v>
      </c>
      <c r="Q89" s="26">
        <v>0.1501190689503733</v>
      </c>
      <c r="R89" s="26">
        <v>0.75558208168642949</v>
      </c>
      <c r="S89" s="27">
        <v>3.3208959156785242E-3</v>
      </c>
    </row>
    <row r="90" spans="2:19" ht="12.5" x14ac:dyDescent="0.25">
      <c r="B90" s="18" t="s">
        <v>227</v>
      </c>
      <c r="C90" s="19" t="s">
        <v>179</v>
      </c>
      <c r="D90" s="19" t="s">
        <v>596</v>
      </c>
      <c r="E90" s="19" t="s">
        <v>194</v>
      </c>
      <c r="F90" s="19" t="s">
        <v>24</v>
      </c>
      <c r="G90" s="19" t="s">
        <v>181</v>
      </c>
      <c r="H90" s="20">
        <v>39156</v>
      </c>
      <c r="I90" s="21">
        <v>26</v>
      </c>
      <c r="J90" s="22">
        <v>39157</v>
      </c>
      <c r="K90" s="23">
        <v>5179</v>
      </c>
      <c r="L90" s="23">
        <v>5527</v>
      </c>
      <c r="M90" s="24">
        <v>487811792</v>
      </c>
      <c r="N90" s="24">
        <v>683493174</v>
      </c>
      <c r="O90" s="25">
        <v>1171304966</v>
      </c>
      <c r="P90" s="26">
        <v>1.7998182075049541E-2</v>
      </c>
      <c r="Q90" s="26">
        <v>4.4139026804235468E-2</v>
      </c>
      <c r="R90" s="26">
        <v>0.92686157975286365</v>
      </c>
      <c r="S90" s="27">
        <v>1.1001211367851359E-2</v>
      </c>
    </row>
    <row r="91" spans="2:19" ht="12.5" x14ac:dyDescent="0.25">
      <c r="B91" s="18" t="s">
        <v>275</v>
      </c>
      <c r="C91" s="19" t="s">
        <v>179</v>
      </c>
      <c r="D91" s="19" t="s">
        <v>606</v>
      </c>
      <c r="E91" s="19" t="s">
        <v>266</v>
      </c>
      <c r="F91" s="19" t="s">
        <v>23</v>
      </c>
      <c r="G91" s="19" t="s">
        <v>181</v>
      </c>
      <c r="H91" s="20">
        <v>39168</v>
      </c>
      <c r="I91" s="21">
        <v>8</v>
      </c>
      <c r="J91" s="22">
        <v>39170</v>
      </c>
      <c r="K91" s="23">
        <v>22662</v>
      </c>
      <c r="L91" s="23">
        <v>23690</v>
      </c>
      <c r="M91" s="24">
        <v>1216750400</v>
      </c>
      <c r="N91" s="24">
        <v>400000000</v>
      </c>
      <c r="O91" s="25">
        <v>1616750400</v>
      </c>
      <c r="P91" s="26">
        <v>8.7549017391304343E-2</v>
      </c>
      <c r="Q91" s="26">
        <v>0.13164175217391305</v>
      </c>
      <c r="R91" s="26">
        <v>0.74229666086956525</v>
      </c>
      <c r="S91" s="27">
        <v>3.851256956521739E-2</v>
      </c>
    </row>
    <row r="92" spans="2:19" ht="12.5" x14ac:dyDescent="0.25">
      <c r="B92" s="18" t="s">
        <v>276</v>
      </c>
      <c r="C92" s="19" t="s">
        <v>189</v>
      </c>
      <c r="D92" s="19" t="s">
        <v>591</v>
      </c>
      <c r="E92" s="19" t="s">
        <v>202</v>
      </c>
      <c r="F92" s="19" t="s">
        <v>23</v>
      </c>
      <c r="G92" s="19" t="s">
        <v>181</v>
      </c>
      <c r="H92" s="20">
        <v>39169</v>
      </c>
      <c r="I92" s="21">
        <v>19</v>
      </c>
      <c r="J92" s="22">
        <v>39174</v>
      </c>
      <c r="K92" s="23">
        <v>20007</v>
      </c>
      <c r="L92" s="23">
        <v>20668</v>
      </c>
      <c r="M92" s="24">
        <v>356859900</v>
      </c>
      <c r="N92" s="24">
        <v>160328365</v>
      </c>
      <c r="O92" s="25">
        <v>517188265</v>
      </c>
      <c r="P92" s="26">
        <v>8.7947833309374349E-2</v>
      </c>
      <c r="Q92" s="26">
        <v>0.12637973389557078</v>
      </c>
      <c r="R92" s="26">
        <v>0.7844617055600811</v>
      </c>
      <c r="S92" s="27">
        <v>1.2107272349737249E-3</v>
      </c>
    </row>
    <row r="93" spans="2:19" ht="12.5" x14ac:dyDescent="0.25">
      <c r="B93" s="18" t="s">
        <v>277</v>
      </c>
      <c r="C93" s="19" t="s">
        <v>179</v>
      </c>
      <c r="D93" s="19" t="s">
        <v>596</v>
      </c>
      <c r="E93" s="19" t="s">
        <v>204</v>
      </c>
      <c r="F93" s="19" t="s">
        <v>23</v>
      </c>
      <c r="G93" s="19" t="s">
        <v>181</v>
      </c>
      <c r="H93" s="20">
        <v>39170</v>
      </c>
      <c r="I93" s="21">
        <v>11.5</v>
      </c>
      <c r="J93" s="22">
        <v>39174</v>
      </c>
      <c r="K93" s="23">
        <v>11251</v>
      </c>
      <c r="L93" s="23">
        <v>11634</v>
      </c>
      <c r="M93" s="24">
        <v>460000000</v>
      </c>
      <c r="N93" s="24">
        <v>0</v>
      </c>
      <c r="O93" s="25">
        <v>460000000</v>
      </c>
      <c r="P93" s="26">
        <v>9.8570649999999996E-2</v>
      </c>
      <c r="Q93" s="26">
        <v>0.20146249999999999</v>
      </c>
      <c r="R93" s="26">
        <v>0.52511792499999999</v>
      </c>
      <c r="S93" s="27">
        <v>0.17484892499999999</v>
      </c>
    </row>
    <row r="94" spans="2:19" ht="12.5" x14ac:dyDescent="0.25">
      <c r="B94" s="18" t="s">
        <v>278</v>
      </c>
      <c r="C94" s="19" t="s">
        <v>179</v>
      </c>
      <c r="D94" s="19" t="s">
        <v>603</v>
      </c>
      <c r="E94" s="19" t="s">
        <v>180</v>
      </c>
      <c r="F94" s="19" t="s">
        <v>23</v>
      </c>
      <c r="G94" s="19" t="s">
        <v>181</v>
      </c>
      <c r="H94" s="20">
        <v>39174</v>
      </c>
      <c r="I94" s="21">
        <v>15</v>
      </c>
      <c r="J94" s="22">
        <v>39177</v>
      </c>
      <c r="K94" s="23">
        <v>13777</v>
      </c>
      <c r="L94" s="23">
        <v>14518</v>
      </c>
      <c r="M94" s="24">
        <v>657118665</v>
      </c>
      <c r="N94" s="24">
        <v>0</v>
      </c>
      <c r="O94" s="25">
        <v>657118665</v>
      </c>
      <c r="P94" s="26">
        <v>0.10142228878442967</v>
      </c>
      <c r="Q94" s="26">
        <v>0.21606554127661737</v>
      </c>
      <c r="R94" s="26">
        <v>0.68097424418826791</v>
      </c>
      <c r="S94" s="27">
        <v>1.5379257506850975E-3</v>
      </c>
    </row>
    <row r="95" spans="2:19" ht="12.5" x14ac:dyDescent="0.25">
      <c r="B95" s="18" t="s">
        <v>279</v>
      </c>
      <c r="C95" s="19" t="s">
        <v>179</v>
      </c>
      <c r="D95" s="19" t="s">
        <v>615</v>
      </c>
      <c r="E95" s="19" t="s">
        <v>180</v>
      </c>
      <c r="F95" s="19" t="s">
        <v>23</v>
      </c>
      <c r="G95" s="19" t="s">
        <v>181</v>
      </c>
      <c r="H95" s="20">
        <v>39182</v>
      </c>
      <c r="I95" s="21">
        <v>17</v>
      </c>
      <c r="J95" s="22">
        <v>39184</v>
      </c>
      <c r="K95" s="23">
        <v>9169</v>
      </c>
      <c r="L95" s="23">
        <v>9770</v>
      </c>
      <c r="M95" s="24">
        <v>203163056</v>
      </c>
      <c r="N95" s="24">
        <v>146414302</v>
      </c>
      <c r="O95" s="25">
        <v>349577358</v>
      </c>
      <c r="P95" s="26">
        <v>0.11210738082184372</v>
      </c>
      <c r="Q95" s="26">
        <v>0.23125582406855996</v>
      </c>
      <c r="R95" s="26">
        <v>0.65372355723336062</v>
      </c>
      <c r="S95" s="27">
        <v>2.9132378762356799E-3</v>
      </c>
    </row>
    <row r="96" spans="2:19" ht="12.5" x14ac:dyDescent="0.25">
      <c r="B96" s="18" t="s">
        <v>280</v>
      </c>
      <c r="C96" s="19" t="s">
        <v>179</v>
      </c>
      <c r="D96" s="19" t="s">
        <v>596</v>
      </c>
      <c r="E96" s="19" t="s">
        <v>202</v>
      </c>
      <c r="F96" s="19" t="s">
        <v>23</v>
      </c>
      <c r="G96" s="19" t="s">
        <v>181</v>
      </c>
      <c r="H96" s="20">
        <v>39182</v>
      </c>
      <c r="I96" s="21">
        <v>8</v>
      </c>
      <c r="J96" s="22">
        <v>39184</v>
      </c>
      <c r="K96" s="23">
        <v>4524</v>
      </c>
      <c r="L96" s="23">
        <v>4749</v>
      </c>
      <c r="M96" s="24">
        <v>432400000</v>
      </c>
      <c r="N96" s="24">
        <v>0</v>
      </c>
      <c r="O96" s="25">
        <v>432400000</v>
      </c>
      <c r="P96" s="26">
        <v>8.6073709528214609E-2</v>
      </c>
      <c r="Q96" s="26">
        <v>1.3013876040703053E-2</v>
      </c>
      <c r="R96" s="26">
        <v>0.89260917668825157</v>
      </c>
      <c r="S96" s="27">
        <v>8.3032377428307116E-3</v>
      </c>
    </row>
    <row r="97" spans="2:19" ht="12.5" x14ac:dyDescent="0.25">
      <c r="B97" s="18" t="s">
        <v>281</v>
      </c>
      <c r="C97" s="19" t="s">
        <v>179</v>
      </c>
      <c r="D97" s="19" t="s">
        <v>616</v>
      </c>
      <c r="E97" s="19" t="s">
        <v>180</v>
      </c>
      <c r="F97" s="19" t="s">
        <v>23</v>
      </c>
      <c r="G97" s="19" t="s">
        <v>181</v>
      </c>
      <c r="H97" s="20">
        <v>39183</v>
      </c>
      <c r="I97" s="21">
        <v>19</v>
      </c>
      <c r="J97" s="22">
        <v>39185</v>
      </c>
      <c r="K97" s="23">
        <v>9576</v>
      </c>
      <c r="L97" s="23">
        <v>9970</v>
      </c>
      <c r="M97" s="24">
        <v>302280500</v>
      </c>
      <c r="N97" s="24">
        <v>150670000</v>
      </c>
      <c r="O97" s="25">
        <v>452950500</v>
      </c>
      <c r="P97" s="26">
        <v>8.5067933471759061E-2</v>
      </c>
      <c r="Q97" s="26">
        <v>0.21442144340275593</v>
      </c>
      <c r="R97" s="26">
        <v>0.56849669665890645</v>
      </c>
      <c r="S97" s="27">
        <v>0.13201392646657858</v>
      </c>
    </row>
    <row r="98" spans="2:19" ht="12.5" x14ac:dyDescent="0.25">
      <c r="B98" s="18" t="s">
        <v>282</v>
      </c>
      <c r="C98" s="19" t="s">
        <v>179</v>
      </c>
      <c r="D98" s="19" t="s">
        <v>617</v>
      </c>
      <c r="E98" s="19" t="s">
        <v>204</v>
      </c>
      <c r="F98" s="19" t="s">
        <v>24</v>
      </c>
      <c r="G98" s="19" t="s">
        <v>181</v>
      </c>
      <c r="H98" s="20">
        <v>39183</v>
      </c>
      <c r="I98" s="21">
        <v>15</v>
      </c>
      <c r="J98" s="22">
        <v>39185</v>
      </c>
      <c r="K98" s="23">
        <v>2375</v>
      </c>
      <c r="L98" s="23">
        <v>2668</v>
      </c>
      <c r="M98" s="24">
        <v>242935785</v>
      </c>
      <c r="N98" s="24">
        <v>239571885</v>
      </c>
      <c r="O98" s="25">
        <v>482507670</v>
      </c>
      <c r="P98" s="26">
        <v>5.3900283077365378E-2</v>
      </c>
      <c r="Q98" s="26">
        <v>0.17656817766233643</v>
      </c>
      <c r="R98" s="26">
        <v>0.43783759955567131</v>
      </c>
      <c r="S98" s="27">
        <v>0.33169393970462685</v>
      </c>
    </row>
    <row r="99" spans="2:19" ht="12.5" x14ac:dyDescent="0.25">
      <c r="B99" s="18" t="s">
        <v>283</v>
      </c>
      <c r="C99" s="19" t="s">
        <v>179</v>
      </c>
      <c r="D99" s="19" t="s">
        <v>609</v>
      </c>
      <c r="E99" s="19" t="s">
        <v>204</v>
      </c>
      <c r="F99" s="19" t="s">
        <v>23</v>
      </c>
      <c r="G99" s="19" t="s">
        <v>181</v>
      </c>
      <c r="H99" s="20">
        <v>39189</v>
      </c>
      <c r="I99" s="21">
        <v>15</v>
      </c>
      <c r="J99" s="22">
        <v>39191</v>
      </c>
      <c r="K99" s="23">
        <v>8629</v>
      </c>
      <c r="L99" s="23">
        <v>9331</v>
      </c>
      <c r="M99" s="24">
        <v>270000030</v>
      </c>
      <c r="N99" s="24">
        <v>136630020</v>
      </c>
      <c r="O99" s="25">
        <v>406630050</v>
      </c>
      <c r="P99" s="26">
        <v>8.8202593487618539E-2</v>
      </c>
      <c r="Q99" s="26">
        <v>0.1961198022625234</v>
      </c>
      <c r="R99" s="26">
        <v>0.70451457043078836</v>
      </c>
      <c r="S99" s="27">
        <v>1.1163033819069693E-2</v>
      </c>
    </row>
    <row r="100" spans="2:19" ht="12.5" x14ac:dyDescent="0.25">
      <c r="B100" s="18" t="s">
        <v>284</v>
      </c>
      <c r="C100" s="19" t="s">
        <v>179</v>
      </c>
      <c r="D100" s="19" t="s">
        <v>596</v>
      </c>
      <c r="E100" s="19" t="s">
        <v>192</v>
      </c>
      <c r="F100" s="19" t="s">
        <v>23</v>
      </c>
      <c r="G100" s="19" t="s">
        <v>181</v>
      </c>
      <c r="H100" s="20">
        <v>39191</v>
      </c>
      <c r="I100" s="21">
        <v>20</v>
      </c>
      <c r="J100" s="22">
        <v>39195</v>
      </c>
      <c r="K100" s="23">
        <v>2755</v>
      </c>
      <c r="L100" s="23">
        <v>2926</v>
      </c>
      <c r="M100" s="24">
        <v>307575000</v>
      </c>
      <c r="N100" s="24">
        <v>0</v>
      </c>
      <c r="O100" s="25">
        <v>307575000</v>
      </c>
      <c r="P100" s="26">
        <v>7.4582784686661796E-2</v>
      </c>
      <c r="Q100" s="26">
        <v>0</v>
      </c>
      <c r="R100" s="26">
        <v>0</v>
      </c>
      <c r="S100" s="27">
        <v>0.9254172153133382</v>
      </c>
    </row>
    <row r="101" spans="2:19" ht="12.5" x14ac:dyDescent="0.25">
      <c r="B101" s="18" t="s">
        <v>285</v>
      </c>
      <c r="C101" s="19" t="s">
        <v>179</v>
      </c>
      <c r="D101" s="19" t="s">
        <v>596</v>
      </c>
      <c r="E101" s="19" t="s">
        <v>202</v>
      </c>
      <c r="F101" s="19" t="s">
        <v>23</v>
      </c>
      <c r="G101" s="19" t="s">
        <v>181</v>
      </c>
      <c r="H101" s="20">
        <v>39196</v>
      </c>
      <c r="I101" s="21">
        <v>8.5</v>
      </c>
      <c r="J101" s="22">
        <v>39198</v>
      </c>
      <c r="K101" s="23">
        <v>5328</v>
      </c>
      <c r="L101" s="23">
        <v>5651</v>
      </c>
      <c r="M101" s="24">
        <v>752348515</v>
      </c>
      <c r="N101" s="24">
        <v>33688985</v>
      </c>
      <c r="O101" s="25">
        <v>786037500</v>
      </c>
      <c r="P101" s="26">
        <v>7.165930251419303E-2</v>
      </c>
      <c r="Q101" s="26">
        <v>0.25064001081373344</v>
      </c>
      <c r="R101" s="26">
        <v>0.67498030819140309</v>
      </c>
      <c r="S101" s="27">
        <v>2.7203784806704517E-3</v>
      </c>
    </row>
    <row r="102" spans="2:19" ht="12.5" x14ac:dyDescent="0.25">
      <c r="B102" s="18" t="s">
        <v>286</v>
      </c>
      <c r="C102" s="19" t="s">
        <v>210</v>
      </c>
      <c r="D102" s="19" t="s">
        <v>589</v>
      </c>
      <c r="E102" s="19" t="s">
        <v>194</v>
      </c>
      <c r="F102" s="19" t="s">
        <v>24</v>
      </c>
      <c r="G102" s="19" t="s">
        <v>181</v>
      </c>
      <c r="H102" s="20">
        <v>39197</v>
      </c>
      <c r="I102" s="21">
        <v>110</v>
      </c>
      <c r="J102" s="22">
        <v>39199</v>
      </c>
      <c r="K102" s="23">
        <v>7045</v>
      </c>
      <c r="L102" s="23">
        <v>7789</v>
      </c>
      <c r="M102" s="24">
        <v>0</v>
      </c>
      <c r="N102" s="24">
        <v>2069007490</v>
      </c>
      <c r="O102" s="25">
        <v>2069007490</v>
      </c>
      <c r="P102" s="26">
        <v>5.8990912585232459E-2</v>
      </c>
      <c r="Q102" s="26">
        <v>0.24308114693767627</v>
      </c>
      <c r="R102" s="26">
        <v>0.69470308829783978</v>
      </c>
      <c r="S102" s="27">
        <v>3.2248521792514716E-3</v>
      </c>
    </row>
    <row r="103" spans="2:19" ht="12.5" x14ac:dyDescent="0.25">
      <c r="B103" s="18" t="s">
        <v>287</v>
      </c>
      <c r="C103" s="19" t="s">
        <v>179</v>
      </c>
      <c r="D103" s="19" t="s">
        <v>618</v>
      </c>
      <c r="E103" s="19" t="s">
        <v>194</v>
      </c>
      <c r="F103" s="19" t="s">
        <v>23</v>
      </c>
      <c r="G103" s="19" t="s">
        <v>181</v>
      </c>
      <c r="H103" s="20">
        <v>39198</v>
      </c>
      <c r="I103" s="21">
        <v>17.5</v>
      </c>
      <c r="J103" s="22">
        <v>39202</v>
      </c>
      <c r="K103" s="23">
        <v>9370</v>
      </c>
      <c r="L103" s="23">
        <v>9717</v>
      </c>
      <c r="M103" s="24">
        <v>210000000</v>
      </c>
      <c r="N103" s="24">
        <v>341631500</v>
      </c>
      <c r="O103" s="25">
        <v>551631500</v>
      </c>
      <c r="P103" s="26">
        <v>8.5369216202125051E-2</v>
      </c>
      <c r="Q103" s="26">
        <v>0.15720361125926635</v>
      </c>
      <c r="R103" s="26">
        <v>0.75583284891560343</v>
      </c>
      <c r="S103" s="27">
        <v>1.5943236230051478E-3</v>
      </c>
    </row>
    <row r="104" spans="2:19" ht="12.5" x14ac:dyDescent="0.25">
      <c r="B104" s="18" t="s">
        <v>288</v>
      </c>
      <c r="C104" s="19" t="s">
        <v>240</v>
      </c>
      <c r="D104" s="19" t="s">
        <v>605</v>
      </c>
      <c r="E104" s="19" t="s">
        <v>202</v>
      </c>
      <c r="F104" s="19" t="s">
        <v>23</v>
      </c>
      <c r="G104" s="19" t="s">
        <v>181</v>
      </c>
      <c r="H104" s="20">
        <v>39198</v>
      </c>
      <c r="I104" s="21">
        <v>23.77</v>
      </c>
      <c r="J104" s="22">
        <v>39202</v>
      </c>
      <c r="K104" s="23">
        <v>11775</v>
      </c>
      <c r="L104" s="23">
        <v>12393</v>
      </c>
      <c r="M104" s="24">
        <v>261470000</v>
      </c>
      <c r="N104" s="24">
        <v>444499000</v>
      </c>
      <c r="O104" s="25">
        <v>705969000</v>
      </c>
      <c r="P104" s="26">
        <v>7.3848552188552186E-2</v>
      </c>
      <c r="Q104" s="26">
        <v>0.13604070707070706</v>
      </c>
      <c r="R104" s="26">
        <v>0.74198851851851855</v>
      </c>
      <c r="S104" s="27">
        <v>4.8122222222222226E-2</v>
      </c>
    </row>
    <row r="105" spans="2:19" ht="12.5" x14ac:dyDescent="0.25">
      <c r="B105" s="18" t="s">
        <v>289</v>
      </c>
      <c r="C105" s="19" t="s">
        <v>189</v>
      </c>
      <c r="D105" s="19" t="s">
        <v>591</v>
      </c>
      <c r="E105" s="19" t="s">
        <v>180</v>
      </c>
      <c r="F105" s="19" t="s">
        <v>23</v>
      </c>
      <c r="G105" s="19" t="s">
        <v>181</v>
      </c>
      <c r="H105" s="20">
        <v>39197</v>
      </c>
      <c r="I105" s="21">
        <v>12</v>
      </c>
      <c r="J105" s="22">
        <v>39204</v>
      </c>
      <c r="K105" s="23">
        <v>7238</v>
      </c>
      <c r="L105" s="23">
        <v>7521</v>
      </c>
      <c r="M105" s="24">
        <v>497336256</v>
      </c>
      <c r="N105" s="24">
        <v>7207728</v>
      </c>
      <c r="O105" s="25">
        <v>504543984</v>
      </c>
      <c r="P105" s="26">
        <v>8.7162256204802946E-2</v>
      </c>
      <c r="Q105" s="26">
        <v>0.15108692684362679</v>
      </c>
      <c r="R105" s="26">
        <v>0.7595713360046723</v>
      </c>
      <c r="S105" s="27">
        <v>2.1794809468979816E-3</v>
      </c>
    </row>
    <row r="106" spans="2:19" ht="12.5" x14ac:dyDescent="0.25">
      <c r="B106" s="18" t="s">
        <v>290</v>
      </c>
      <c r="C106" s="19" t="s">
        <v>240</v>
      </c>
      <c r="D106" s="19" t="s">
        <v>590</v>
      </c>
      <c r="E106" s="19" t="s">
        <v>202</v>
      </c>
      <c r="F106" s="19" t="s">
        <v>23</v>
      </c>
      <c r="G106" s="19" t="s">
        <v>181</v>
      </c>
      <c r="H106" s="20">
        <v>39231</v>
      </c>
      <c r="I106" s="21">
        <v>22</v>
      </c>
      <c r="J106" s="22">
        <v>39233</v>
      </c>
      <c r="K106" s="23">
        <v>10631</v>
      </c>
      <c r="L106" s="23">
        <v>10949</v>
      </c>
      <c r="M106" s="24">
        <v>443828000</v>
      </c>
      <c r="N106" s="24">
        <v>0</v>
      </c>
      <c r="O106" s="25">
        <v>443828000</v>
      </c>
      <c r="P106" s="26">
        <v>8.5689338892197736E-2</v>
      </c>
      <c r="Q106" s="26">
        <v>3.1145634306134602E-2</v>
      </c>
      <c r="R106" s="26">
        <v>0.86975580702799282</v>
      </c>
      <c r="S106" s="27">
        <v>1.3409219773674807E-2</v>
      </c>
    </row>
    <row r="107" spans="2:19" ht="12.5" x14ac:dyDescent="0.25">
      <c r="B107" s="18" t="s">
        <v>291</v>
      </c>
      <c r="C107" s="19" t="s">
        <v>179</v>
      </c>
      <c r="D107" s="19" t="s">
        <v>596</v>
      </c>
      <c r="E107" s="19" t="s">
        <v>202</v>
      </c>
      <c r="F107" s="19" t="s">
        <v>23</v>
      </c>
      <c r="G107" s="19" t="s">
        <v>181</v>
      </c>
      <c r="H107" s="20">
        <v>39237</v>
      </c>
      <c r="I107" s="21">
        <v>17.5</v>
      </c>
      <c r="J107" s="22">
        <v>39239</v>
      </c>
      <c r="K107" s="23">
        <v>9532</v>
      </c>
      <c r="L107" s="23">
        <v>10114</v>
      </c>
      <c r="M107" s="24">
        <v>756000000</v>
      </c>
      <c r="N107" s="24">
        <v>0</v>
      </c>
      <c r="O107" s="25">
        <v>756000000</v>
      </c>
      <c r="P107" s="26">
        <v>8.1324212962962966E-2</v>
      </c>
      <c r="Q107" s="26">
        <v>0.22044250000000001</v>
      </c>
      <c r="R107" s="26">
        <v>0.6958937268518518</v>
      </c>
      <c r="S107" s="27">
        <v>2.339560185185185E-3</v>
      </c>
    </row>
    <row r="108" spans="2:19" ht="12.5" x14ac:dyDescent="0.25">
      <c r="B108" s="18" t="s">
        <v>292</v>
      </c>
      <c r="C108" s="19" t="s">
        <v>189</v>
      </c>
      <c r="D108" s="19" t="s">
        <v>591</v>
      </c>
      <c r="E108" s="19" t="s">
        <v>180</v>
      </c>
      <c r="F108" s="19" t="s">
        <v>23</v>
      </c>
      <c r="G108" s="19" t="s">
        <v>181</v>
      </c>
      <c r="H108" s="20">
        <v>39245</v>
      </c>
      <c r="I108" s="21">
        <v>14</v>
      </c>
      <c r="J108" s="22">
        <v>39247</v>
      </c>
      <c r="K108" s="23">
        <v>8491</v>
      </c>
      <c r="L108" s="23">
        <v>8800</v>
      </c>
      <c r="M108" s="24">
        <v>529200000</v>
      </c>
      <c r="N108" s="24">
        <v>0</v>
      </c>
      <c r="O108" s="25">
        <v>529200000</v>
      </c>
      <c r="P108" s="26">
        <v>0.11348703703703704</v>
      </c>
      <c r="Q108" s="26">
        <v>0.10587037037037036</v>
      </c>
      <c r="R108" s="26">
        <v>0.7785144444444444</v>
      </c>
      <c r="S108" s="27">
        <v>2.1281481481481481E-3</v>
      </c>
    </row>
    <row r="109" spans="2:19" ht="12.5" x14ac:dyDescent="0.25">
      <c r="B109" s="18" t="s">
        <v>293</v>
      </c>
      <c r="C109" s="19" t="s">
        <v>179</v>
      </c>
      <c r="D109" s="19" t="s">
        <v>592</v>
      </c>
      <c r="E109" s="19" t="s">
        <v>202</v>
      </c>
      <c r="F109" s="19" t="s">
        <v>23</v>
      </c>
      <c r="G109" s="19" t="s">
        <v>181</v>
      </c>
      <c r="H109" s="20">
        <v>39246</v>
      </c>
      <c r="I109" s="21">
        <v>14</v>
      </c>
      <c r="J109" s="22">
        <v>39248</v>
      </c>
      <c r="K109" s="23">
        <v>9623</v>
      </c>
      <c r="L109" s="23">
        <v>10166</v>
      </c>
      <c r="M109" s="24">
        <v>308000000</v>
      </c>
      <c r="N109" s="24">
        <v>182043750</v>
      </c>
      <c r="O109" s="25">
        <v>490043750</v>
      </c>
      <c r="P109" s="26">
        <v>9.1886681546290511E-2</v>
      </c>
      <c r="Q109" s="26">
        <v>0.2072382394429069</v>
      </c>
      <c r="R109" s="26">
        <v>0.69781083831800728</v>
      </c>
      <c r="S109" s="27">
        <v>3.0642406927952862E-3</v>
      </c>
    </row>
    <row r="110" spans="2:19" ht="12.5" x14ac:dyDescent="0.25">
      <c r="B110" s="18" t="s">
        <v>294</v>
      </c>
      <c r="C110" s="19" t="s">
        <v>179</v>
      </c>
      <c r="D110" s="19" t="s">
        <v>619</v>
      </c>
      <c r="E110" s="19" t="s">
        <v>180</v>
      </c>
      <c r="F110" s="19" t="s">
        <v>23</v>
      </c>
      <c r="G110" s="19" t="s">
        <v>181</v>
      </c>
      <c r="H110" s="20">
        <v>39251</v>
      </c>
      <c r="I110" s="21">
        <v>14.25</v>
      </c>
      <c r="J110" s="22">
        <v>39254</v>
      </c>
      <c r="K110" s="23">
        <v>26509</v>
      </c>
      <c r="L110" s="23">
        <v>28172</v>
      </c>
      <c r="M110" s="24">
        <v>443333317.5</v>
      </c>
      <c r="N110" s="24">
        <v>404913336.75</v>
      </c>
      <c r="O110" s="25">
        <v>848246654.25</v>
      </c>
      <c r="P110" s="26">
        <v>8.6723968943965918E-2</v>
      </c>
      <c r="Q110" s="26">
        <v>0.16357265313669819</v>
      </c>
      <c r="R110" s="26">
        <v>0.74697106298665961</v>
      </c>
      <c r="S110" s="27">
        <v>2.7323149326763173E-3</v>
      </c>
    </row>
    <row r="111" spans="2:19" ht="12.5" x14ac:dyDescent="0.25">
      <c r="B111" s="18" t="s">
        <v>295</v>
      </c>
      <c r="C111" s="19" t="s">
        <v>179</v>
      </c>
      <c r="D111" s="19" t="s">
        <v>596</v>
      </c>
      <c r="E111" s="19" t="s">
        <v>180</v>
      </c>
      <c r="F111" s="19" t="s">
        <v>23</v>
      </c>
      <c r="G111" s="19" t="s">
        <v>181</v>
      </c>
      <c r="H111" s="20">
        <v>39252</v>
      </c>
      <c r="I111" s="21">
        <v>11</v>
      </c>
      <c r="J111" s="22">
        <v>39255</v>
      </c>
      <c r="K111" s="23">
        <v>5507</v>
      </c>
      <c r="L111" s="23">
        <v>5802</v>
      </c>
      <c r="M111" s="24">
        <v>542145813</v>
      </c>
      <c r="N111" s="24">
        <v>0</v>
      </c>
      <c r="O111" s="25">
        <v>542145813</v>
      </c>
      <c r="P111" s="26">
        <v>8.4224108911452572E-2</v>
      </c>
      <c r="Q111" s="26">
        <v>0.22720709456073951</v>
      </c>
      <c r="R111" s="26">
        <v>0.68114236455423849</v>
      </c>
      <c r="S111" s="27">
        <v>7.4264319735694428E-3</v>
      </c>
    </row>
    <row r="112" spans="2:19" ht="12.5" x14ac:dyDescent="0.25">
      <c r="B112" s="18" t="s">
        <v>296</v>
      </c>
      <c r="C112" s="19" t="s">
        <v>189</v>
      </c>
      <c r="D112" s="19" t="s">
        <v>591</v>
      </c>
      <c r="E112" s="19" t="s">
        <v>180</v>
      </c>
      <c r="F112" s="19" t="s">
        <v>23</v>
      </c>
      <c r="G112" s="19" t="s">
        <v>181</v>
      </c>
      <c r="H112" s="20">
        <v>39254</v>
      </c>
      <c r="I112" s="21">
        <v>15.5</v>
      </c>
      <c r="J112" s="22">
        <v>39259</v>
      </c>
      <c r="K112" s="23">
        <v>4188</v>
      </c>
      <c r="L112" s="23">
        <v>4442</v>
      </c>
      <c r="M112" s="24">
        <v>439695785</v>
      </c>
      <c r="N112" s="24">
        <v>133820459</v>
      </c>
      <c r="O112" s="25">
        <v>573516244</v>
      </c>
      <c r="P112" s="26">
        <v>8.3260549010821361E-2</v>
      </c>
      <c r="Q112" s="26">
        <v>1.0036897922068948E-2</v>
      </c>
      <c r="R112" s="26">
        <v>0.59205433882625191</v>
      </c>
      <c r="S112" s="27">
        <v>0.31464821424085782</v>
      </c>
    </row>
    <row r="113" spans="2:19" ht="12.5" x14ac:dyDescent="0.25">
      <c r="B113" s="18" t="s">
        <v>297</v>
      </c>
      <c r="C113" s="19" t="s">
        <v>189</v>
      </c>
      <c r="D113" s="19" t="s">
        <v>591</v>
      </c>
      <c r="E113" s="19" t="s">
        <v>180</v>
      </c>
      <c r="F113" s="19" t="s">
        <v>23</v>
      </c>
      <c r="G113" s="19" t="s">
        <v>181</v>
      </c>
      <c r="H113" s="20">
        <v>39259</v>
      </c>
      <c r="I113" s="21">
        <v>17</v>
      </c>
      <c r="J113" s="22">
        <v>39262</v>
      </c>
      <c r="K113" s="23">
        <v>7518</v>
      </c>
      <c r="L113" s="23">
        <v>8014</v>
      </c>
      <c r="M113" s="24">
        <v>936406104</v>
      </c>
      <c r="N113" s="24">
        <v>156067684</v>
      </c>
      <c r="O113" s="25">
        <v>1092473788</v>
      </c>
      <c r="P113" s="26">
        <v>8.8968386306033737E-2</v>
      </c>
      <c r="Q113" s="26">
        <v>0.19154168941946276</v>
      </c>
      <c r="R113" s="26">
        <v>0.69751996649277959</v>
      </c>
      <c r="S113" s="27">
        <v>2.1969957781723913E-2</v>
      </c>
    </row>
    <row r="114" spans="2:19" ht="12.5" x14ac:dyDescent="0.25">
      <c r="B114" s="18" t="s">
        <v>298</v>
      </c>
      <c r="C114" s="19" t="s">
        <v>179</v>
      </c>
      <c r="D114" s="19" t="s">
        <v>606</v>
      </c>
      <c r="E114" s="19" t="s">
        <v>194</v>
      </c>
      <c r="F114" s="19" t="s">
        <v>23</v>
      </c>
      <c r="G114" s="19" t="s">
        <v>181</v>
      </c>
      <c r="H114" s="20">
        <v>39259</v>
      </c>
      <c r="I114" s="21">
        <v>17</v>
      </c>
      <c r="J114" s="22">
        <v>39262</v>
      </c>
      <c r="K114" s="23">
        <v>4899</v>
      </c>
      <c r="L114" s="23">
        <v>5527</v>
      </c>
      <c r="M114" s="24">
        <v>654065548</v>
      </c>
      <c r="N114" s="24">
        <v>366444452</v>
      </c>
      <c r="O114" s="25">
        <v>1020510000</v>
      </c>
      <c r="P114" s="26">
        <v>4.729032150591371E-2</v>
      </c>
      <c r="Q114" s="26">
        <v>0.26923170081625852</v>
      </c>
      <c r="R114" s="26">
        <v>0.67865817091454272</v>
      </c>
      <c r="S114" s="27">
        <v>4.819806763285024E-3</v>
      </c>
    </row>
    <row r="115" spans="2:19" ht="12.5" x14ac:dyDescent="0.25">
      <c r="B115" s="18" t="s">
        <v>299</v>
      </c>
      <c r="C115" s="19" t="s">
        <v>179</v>
      </c>
      <c r="D115" s="19" t="s">
        <v>620</v>
      </c>
      <c r="E115" s="19" t="s">
        <v>266</v>
      </c>
      <c r="F115" s="19" t="s">
        <v>23</v>
      </c>
      <c r="G115" s="19" t="s">
        <v>181</v>
      </c>
      <c r="H115" s="20">
        <v>39261</v>
      </c>
      <c r="I115" s="21">
        <v>26</v>
      </c>
      <c r="J115" s="22">
        <v>39266</v>
      </c>
      <c r="K115" s="23">
        <v>6714</v>
      </c>
      <c r="L115" s="23">
        <v>7147</v>
      </c>
      <c r="M115" s="24">
        <v>290228506.10000002</v>
      </c>
      <c r="N115" s="24">
        <v>313751493.89999998</v>
      </c>
      <c r="O115" s="25">
        <v>603980000</v>
      </c>
      <c r="P115" s="26">
        <v>8.8064743865690923E-2</v>
      </c>
      <c r="Q115" s="26">
        <v>0.31941304347826088</v>
      </c>
      <c r="R115" s="26">
        <v>0.59044782608695656</v>
      </c>
      <c r="S115" s="27">
        <v>2.0743865690916919E-3</v>
      </c>
    </row>
    <row r="116" spans="2:19" ht="12.5" x14ac:dyDescent="0.25">
      <c r="B116" s="18" t="s">
        <v>300</v>
      </c>
      <c r="C116" s="19" t="s">
        <v>179</v>
      </c>
      <c r="D116" s="19" t="s">
        <v>607</v>
      </c>
      <c r="E116" s="19" t="s">
        <v>180</v>
      </c>
      <c r="F116" s="19" t="s">
        <v>24</v>
      </c>
      <c r="G116" s="19" t="s">
        <v>181</v>
      </c>
      <c r="H116" s="20">
        <v>39261</v>
      </c>
      <c r="I116" s="21">
        <v>15</v>
      </c>
      <c r="J116" s="22">
        <v>39266</v>
      </c>
      <c r="K116" s="23">
        <v>7204</v>
      </c>
      <c r="L116" s="23">
        <v>7676</v>
      </c>
      <c r="M116" s="24">
        <v>235400100</v>
      </c>
      <c r="N116" s="24">
        <v>157290300</v>
      </c>
      <c r="O116" s="25">
        <v>392690400</v>
      </c>
      <c r="P116" s="26">
        <v>9.9862754475281285E-2</v>
      </c>
      <c r="Q116" s="26">
        <v>0.22867743902066362</v>
      </c>
      <c r="R116" s="26">
        <v>0.66993242004388187</v>
      </c>
      <c r="S116" s="27">
        <v>1.5273864601732052E-3</v>
      </c>
    </row>
    <row r="117" spans="2:19" ht="12.5" x14ac:dyDescent="0.25">
      <c r="B117" s="18" t="s">
        <v>301</v>
      </c>
      <c r="C117" s="19" t="s">
        <v>184</v>
      </c>
      <c r="D117" s="19" t="s">
        <v>591</v>
      </c>
      <c r="E117" s="19" t="s">
        <v>202</v>
      </c>
      <c r="F117" s="19" t="s">
        <v>23</v>
      </c>
      <c r="G117" s="19" t="s">
        <v>181</v>
      </c>
      <c r="H117" s="20">
        <v>39273</v>
      </c>
      <c r="I117" s="21">
        <v>17.5</v>
      </c>
      <c r="J117" s="22">
        <v>39275</v>
      </c>
      <c r="K117" s="23">
        <v>283</v>
      </c>
      <c r="L117" s="23">
        <v>348</v>
      </c>
      <c r="M117" s="24">
        <v>227500017.5</v>
      </c>
      <c r="N117" s="24">
        <v>25060752.5</v>
      </c>
      <c r="O117" s="25">
        <v>252560770</v>
      </c>
      <c r="P117" s="26">
        <v>7.6261224902982705E-2</v>
      </c>
      <c r="Q117" s="26">
        <v>4.045622765721326E-2</v>
      </c>
      <c r="R117" s="26">
        <v>0.87974539386573891</v>
      </c>
      <c r="S117" s="27">
        <v>3.5371535740651096E-3</v>
      </c>
    </row>
    <row r="118" spans="2:19" ht="12.5" x14ac:dyDescent="0.25">
      <c r="B118" s="18" t="s">
        <v>302</v>
      </c>
      <c r="C118" s="19" t="s">
        <v>179</v>
      </c>
      <c r="D118" s="19" t="s">
        <v>621</v>
      </c>
      <c r="E118" s="19" t="s">
        <v>192</v>
      </c>
      <c r="F118" s="19" t="s">
        <v>23</v>
      </c>
      <c r="G118" s="19" t="s">
        <v>181</v>
      </c>
      <c r="H118" s="20">
        <v>39274</v>
      </c>
      <c r="I118" s="21">
        <v>27</v>
      </c>
      <c r="J118" s="22">
        <v>39276</v>
      </c>
      <c r="K118" s="23">
        <v>29315</v>
      </c>
      <c r="L118" s="23">
        <v>31297</v>
      </c>
      <c r="M118" s="24">
        <v>419999985</v>
      </c>
      <c r="N118" s="24">
        <v>4222694700</v>
      </c>
      <c r="O118" s="25">
        <v>4642694685</v>
      </c>
      <c r="P118" s="26">
        <v>8.895317698454254E-2</v>
      </c>
      <c r="Q118" s="26">
        <v>0.19214644371989326</v>
      </c>
      <c r="R118" s="26">
        <v>0.71547075833611484</v>
      </c>
      <c r="S118" s="27">
        <v>3.429620959449329E-3</v>
      </c>
    </row>
    <row r="119" spans="2:19" ht="12.5" x14ac:dyDescent="0.25">
      <c r="B119" s="18" t="s">
        <v>303</v>
      </c>
      <c r="C119" s="19" t="s">
        <v>179</v>
      </c>
      <c r="D119" s="19" t="s">
        <v>603</v>
      </c>
      <c r="E119" s="19" t="s">
        <v>202</v>
      </c>
      <c r="F119" s="19" t="s">
        <v>23</v>
      </c>
      <c r="G119" s="19" t="s">
        <v>181</v>
      </c>
      <c r="H119" s="20">
        <v>39275</v>
      </c>
      <c r="I119" s="21">
        <v>1000</v>
      </c>
      <c r="J119" s="22">
        <v>39279</v>
      </c>
      <c r="K119" s="23">
        <v>16</v>
      </c>
      <c r="L119" s="23">
        <v>114</v>
      </c>
      <c r="M119" s="24">
        <v>945000000</v>
      </c>
      <c r="N119" s="24">
        <v>0</v>
      </c>
      <c r="O119" s="25">
        <v>945000000</v>
      </c>
      <c r="P119" s="26">
        <v>9.1005291005291002E-3</v>
      </c>
      <c r="Q119" s="26">
        <v>5.9894179894179896E-2</v>
      </c>
      <c r="R119" s="26">
        <v>0.8720634920634921</v>
      </c>
      <c r="S119" s="27">
        <v>5.8941798941798941E-2</v>
      </c>
    </row>
    <row r="120" spans="2:19" ht="12.5" x14ac:dyDescent="0.25">
      <c r="B120" s="18" t="s">
        <v>304</v>
      </c>
      <c r="C120" s="19" t="s">
        <v>179</v>
      </c>
      <c r="D120" s="19" t="s">
        <v>606</v>
      </c>
      <c r="E120" s="19" t="s">
        <v>202</v>
      </c>
      <c r="F120" s="19" t="s">
        <v>23</v>
      </c>
      <c r="G120" s="19" t="s">
        <v>181</v>
      </c>
      <c r="H120" s="20">
        <v>39281</v>
      </c>
      <c r="I120" s="21">
        <v>18.5</v>
      </c>
      <c r="J120" s="22">
        <v>39283</v>
      </c>
      <c r="K120" s="23">
        <v>11539</v>
      </c>
      <c r="L120" s="23">
        <v>12115</v>
      </c>
      <c r="M120" s="24">
        <v>370000000</v>
      </c>
      <c r="N120" s="24">
        <v>74000000</v>
      </c>
      <c r="O120" s="25">
        <v>444000000</v>
      </c>
      <c r="P120" s="26">
        <v>0.10461865942028986</v>
      </c>
      <c r="Q120" s="26">
        <v>0.27791492753623187</v>
      </c>
      <c r="R120" s="26">
        <v>0.6155805797101449</v>
      </c>
      <c r="S120" s="27">
        <v>1.8858333333333333E-3</v>
      </c>
    </row>
    <row r="121" spans="2:19" ht="12.5" x14ac:dyDescent="0.25">
      <c r="B121" s="18" t="s">
        <v>305</v>
      </c>
      <c r="C121" s="19" t="s">
        <v>240</v>
      </c>
      <c r="D121" s="19" t="s">
        <v>591</v>
      </c>
      <c r="E121" s="19" t="s">
        <v>266</v>
      </c>
      <c r="F121" s="19" t="s">
        <v>23</v>
      </c>
      <c r="G121" s="19" t="s">
        <v>181</v>
      </c>
      <c r="H121" s="20">
        <v>39281</v>
      </c>
      <c r="I121" s="21">
        <v>48.38</v>
      </c>
      <c r="J121" s="22">
        <v>39283</v>
      </c>
      <c r="K121" s="23">
        <v>2830</v>
      </c>
      <c r="L121" s="23">
        <v>2917</v>
      </c>
      <c r="M121" s="24">
        <v>7619850</v>
      </c>
      <c r="N121" s="24">
        <v>68336750</v>
      </c>
      <c r="O121" s="25">
        <v>75956600</v>
      </c>
      <c r="P121" s="26">
        <v>6.1869565217391306E-3</v>
      </c>
      <c r="Q121" s="26">
        <v>2.0525478260869565E-2</v>
      </c>
      <c r="R121" s="26">
        <v>0.97320278260869564</v>
      </c>
      <c r="S121" s="27">
        <v>8.478260869565218E-5</v>
      </c>
    </row>
    <row r="122" spans="2:19" ht="12.5" x14ac:dyDescent="0.25">
      <c r="B122" s="18" t="s">
        <v>306</v>
      </c>
      <c r="C122" s="19" t="s">
        <v>179</v>
      </c>
      <c r="D122" s="19" t="s">
        <v>622</v>
      </c>
      <c r="E122" s="19" t="s">
        <v>204</v>
      </c>
      <c r="F122" s="19" t="s">
        <v>24</v>
      </c>
      <c r="G122" s="19" t="s">
        <v>181</v>
      </c>
      <c r="H122" s="20">
        <v>39282</v>
      </c>
      <c r="I122" s="21">
        <v>11</v>
      </c>
      <c r="J122" s="22">
        <v>39286</v>
      </c>
      <c r="K122" s="23">
        <v>9089</v>
      </c>
      <c r="L122" s="23">
        <v>9404</v>
      </c>
      <c r="M122" s="24">
        <v>229163000</v>
      </c>
      <c r="N122" s="24">
        <v>82500000</v>
      </c>
      <c r="O122" s="25">
        <v>311663000</v>
      </c>
      <c r="P122" s="26">
        <v>8.3772279673878514E-2</v>
      </c>
      <c r="Q122" s="26">
        <v>0.28175932504576778</v>
      </c>
      <c r="R122" s="26">
        <v>0.63107539372585975</v>
      </c>
      <c r="S122" s="27">
        <v>3.3930015544939916E-3</v>
      </c>
    </row>
    <row r="123" spans="2:19" ht="12.5" x14ac:dyDescent="0.25">
      <c r="B123" s="18" t="s">
        <v>307</v>
      </c>
      <c r="C123" s="19" t="s">
        <v>179</v>
      </c>
      <c r="D123" s="19" t="s">
        <v>596</v>
      </c>
      <c r="E123" s="19" t="s">
        <v>180</v>
      </c>
      <c r="F123" s="19" t="s">
        <v>23</v>
      </c>
      <c r="G123" s="19" t="s">
        <v>181</v>
      </c>
      <c r="H123" s="20">
        <v>39282</v>
      </c>
      <c r="I123" s="21">
        <v>26</v>
      </c>
      <c r="J123" s="22">
        <v>39286</v>
      </c>
      <c r="K123" s="23">
        <v>15461</v>
      </c>
      <c r="L123" s="23">
        <v>16745</v>
      </c>
      <c r="M123" s="24">
        <v>1071155202</v>
      </c>
      <c r="N123" s="24">
        <v>122244798</v>
      </c>
      <c r="O123" s="25">
        <v>1193400000</v>
      </c>
      <c r="P123" s="26">
        <v>7.6903420479302834E-2</v>
      </c>
      <c r="Q123" s="26">
        <v>0.18763581699346404</v>
      </c>
      <c r="R123" s="26">
        <v>0.7331963616557734</v>
      </c>
      <c r="S123" s="27">
        <v>2.264400871459695E-3</v>
      </c>
    </row>
    <row r="124" spans="2:19" ht="12.5" x14ac:dyDescent="0.25">
      <c r="B124" s="18" t="s">
        <v>308</v>
      </c>
      <c r="C124" s="19" t="s">
        <v>184</v>
      </c>
      <c r="D124" s="19" t="s">
        <v>614</v>
      </c>
      <c r="E124" s="19" t="s">
        <v>185</v>
      </c>
      <c r="F124" s="19" t="s">
        <v>23</v>
      </c>
      <c r="G124" s="19" t="s">
        <v>181</v>
      </c>
      <c r="H124" s="20">
        <v>39282</v>
      </c>
      <c r="I124" s="21">
        <v>39</v>
      </c>
      <c r="J124" s="22">
        <v>39286</v>
      </c>
      <c r="K124" s="23">
        <v>11158</v>
      </c>
      <c r="L124" s="23">
        <v>12081</v>
      </c>
      <c r="M124" s="24">
        <v>395695287</v>
      </c>
      <c r="N124" s="24">
        <v>83078463</v>
      </c>
      <c r="O124" s="25">
        <v>478773750</v>
      </c>
      <c r="P124" s="26">
        <v>9.2084634965889423E-2</v>
      </c>
      <c r="Q124" s="26">
        <v>0.20221606761022298</v>
      </c>
      <c r="R124" s="26">
        <v>0.70243787801649527</v>
      </c>
      <c r="S124" s="27">
        <v>3.2614194073923228E-3</v>
      </c>
    </row>
    <row r="125" spans="2:19" ht="12.5" x14ac:dyDescent="0.25">
      <c r="B125" s="18" t="s">
        <v>309</v>
      </c>
      <c r="C125" s="19" t="s">
        <v>179</v>
      </c>
      <c r="D125" s="19" t="s">
        <v>592</v>
      </c>
      <c r="E125" s="19" t="s">
        <v>180</v>
      </c>
      <c r="F125" s="19" t="s">
        <v>23</v>
      </c>
      <c r="G125" s="19" t="s">
        <v>181</v>
      </c>
      <c r="H125" s="20">
        <v>39282</v>
      </c>
      <c r="I125" s="21">
        <v>13.5</v>
      </c>
      <c r="J125" s="22">
        <v>39286</v>
      </c>
      <c r="K125" s="23">
        <v>12229</v>
      </c>
      <c r="L125" s="23">
        <v>12750</v>
      </c>
      <c r="M125" s="24">
        <v>665758062</v>
      </c>
      <c r="N125" s="24">
        <v>0</v>
      </c>
      <c r="O125" s="25">
        <v>665758062</v>
      </c>
      <c r="P125" s="26">
        <v>0.11163641357866029</v>
      </c>
      <c r="Q125" s="26">
        <v>0.43603055349678765</v>
      </c>
      <c r="R125" s="26">
        <v>0.44979501336939859</v>
      </c>
      <c r="S125" s="27">
        <v>2.5380195551534352E-3</v>
      </c>
    </row>
    <row r="126" spans="2:19" ht="12.5" x14ac:dyDescent="0.25">
      <c r="B126" s="18" t="s">
        <v>310</v>
      </c>
      <c r="C126" s="19" t="s">
        <v>179</v>
      </c>
      <c r="D126" s="19" t="s">
        <v>578</v>
      </c>
      <c r="E126" s="19" t="s">
        <v>202</v>
      </c>
      <c r="F126" s="19" t="s">
        <v>23</v>
      </c>
      <c r="G126" s="19" t="s">
        <v>181</v>
      </c>
      <c r="H126" s="20">
        <v>39282</v>
      </c>
      <c r="I126" s="21">
        <v>9.5</v>
      </c>
      <c r="J126" s="22">
        <v>39286</v>
      </c>
      <c r="K126" s="23">
        <v>7067</v>
      </c>
      <c r="L126" s="23">
        <v>7427</v>
      </c>
      <c r="M126" s="24">
        <v>304438719.5</v>
      </c>
      <c r="N126" s="24">
        <v>208561280.5</v>
      </c>
      <c r="O126" s="25">
        <v>513000000</v>
      </c>
      <c r="P126" s="26">
        <v>8.5420032206119156E-2</v>
      </c>
      <c r="Q126" s="26">
        <v>0.16731320450885667</v>
      </c>
      <c r="R126" s="26">
        <v>0.74539797101449279</v>
      </c>
      <c r="S126" s="27">
        <v>1.8687922705314009E-3</v>
      </c>
    </row>
    <row r="127" spans="2:19" ht="12.5" x14ac:dyDescent="0.25">
      <c r="B127" s="18" t="s">
        <v>311</v>
      </c>
      <c r="C127" s="19" t="s">
        <v>184</v>
      </c>
      <c r="D127" s="19" t="s">
        <v>591</v>
      </c>
      <c r="E127" s="19" t="s">
        <v>180</v>
      </c>
      <c r="F127" s="19" t="s">
        <v>23</v>
      </c>
      <c r="G127" s="19" t="s">
        <v>181</v>
      </c>
      <c r="H127" s="20">
        <v>39286</v>
      </c>
      <c r="I127" s="21">
        <v>13.5</v>
      </c>
      <c r="J127" s="22">
        <v>39288</v>
      </c>
      <c r="K127" s="23">
        <v>5909</v>
      </c>
      <c r="L127" s="23">
        <v>6364</v>
      </c>
      <c r="M127" s="24">
        <v>599400000</v>
      </c>
      <c r="N127" s="24">
        <v>9450000</v>
      </c>
      <c r="O127" s="25">
        <v>608850000</v>
      </c>
      <c r="P127" s="26">
        <v>0.11208310810810811</v>
      </c>
      <c r="Q127" s="26">
        <v>0.23769067567567567</v>
      </c>
      <c r="R127" s="26">
        <v>0.64804310810810806</v>
      </c>
      <c r="S127" s="27">
        <v>2.183108108108108E-3</v>
      </c>
    </row>
    <row r="128" spans="2:19" ht="12.5" x14ac:dyDescent="0.25">
      <c r="B128" s="18" t="s">
        <v>312</v>
      </c>
      <c r="C128" s="19" t="s">
        <v>179</v>
      </c>
      <c r="D128" s="19" t="s">
        <v>623</v>
      </c>
      <c r="E128" s="19" t="s">
        <v>202</v>
      </c>
      <c r="F128" s="19" t="s">
        <v>23</v>
      </c>
      <c r="G128" s="19" t="s">
        <v>181</v>
      </c>
      <c r="H128" s="20">
        <v>39288</v>
      </c>
      <c r="I128" s="21">
        <v>19</v>
      </c>
      <c r="J128" s="22">
        <v>39290</v>
      </c>
      <c r="K128" s="23">
        <v>7307</v>
      </c>
      <c r="L128" s="23">
        <v>7592</v>
      </c>
      <c r="M128" s="24">
        <v>446500000</v>
      </c>
      <c r="N128" s="24">
        <v>209000000</v>
      </c>
      <c r="O128" s="25">
        <v>655500000</v>
      </c>
      <c r="P128" s="26">
        <v>6.2804840579710142E-2</v>
      </c>
      <c r="Q128" s="26">
        <v>0.18064202898550724</v>
      </c>
      <c r="R128" s="26">
        <v>0.36570678260869566</v>
      </c>
      <c r="S128" s="27">
        <v>0.39084634782608696</v>
      </c>
    </row>
    <row r="129" spans="1:19" ht="12.5" x14ac:dyDescent="0.25">
      <c r="B129" s="18" t="s">
        <v>313</v>
      </c>
      <c r="C129" s="19" t="s">
        <v>179</v>
      </c>
      <c r="D129" s="19" t="s">
        <v>624</v>
      </c>
      <c r="E129" s="19" t="s">
        <v>180</v>
      </c>
      <c r="F129" s="19" t="s">
        <v>23</v>
      </c>
      <c r="G129" s="19" t="s">
        <v>181</v>
      </c>
      <c r="H129" s="20">
        <v>39288</v>
      </c>
      <c r="I129" s="21">
        <v>15</v>
      </c>
      <c r="J129" s="22">
        <v>39290</v>
      </c>
      <c r="K129" s="23">
        <v>11036</v>
      </c>
      <c r="L129" s="23">
        <v>11615</v>
      </c>
      <c r="M129" s="24">
        <v>468750000</v>
      </c>
      <c r="N129" s="24">
        <v>0</v>
      </c>
      <c r="O129" s="25">
        <v>468750000</v>
      </c>
      <c r="P129" s="26">
        <v>9.3246636521739132E-2</v>
      </c>
      <c r="Q129" s="26">
        <v>0.23296834782608697</v>
      </c>
      <c r="R129" s="26">
        <v>0.67160027826086954</v>
      </c>
      <c r="S129" s="27">
        <v>2.1847373913043478E-3</v>
      </c>
    </row>
    <row r="130" spans="1:19" ht="12.5" x14ac:dyDescent="0.25">
      <c r="B130" s="18" t="s">
        <v>314</v>
      </c>
      <c r="C130" s="19" t="s">
        <v>184</v>
      </c>
      <c r="D130" s="19" t="s">
        <v>603</v>
      </c>
      <c r="E130" s="19" t="s">
        <v>180</v>
      </c>
      <c r="F130" s="19" t="s">
        <v>23</v>
      </c>
      <c r="G130" s="19" t="s">
        <v>181</v>
      </c>
      <c r="H130" s="20">
        <v>39288</v>
      </c>
      <c r="I130" s="21">
        <v>25</v>
      </c>
      <c r="J130" s="22">
        <v>39290</v>
      </c>
      <c r="K130" s="23">
        <v>24137</v>
      </c>
      <c r="L130" s="23">
        <v>25531</v>
      </c>
      <c r="M130" s="24">
        <v>688327725</v>
      </c>
      <c r="N130" s="24">
        <v>236200650</v>
      </c>
      <c r="O130" s="25">
        <v>924528375</v>
      </c>
      <c r="P130" s="26">
        <v>9.7230319430042358E-2</v>
      </c>
      <c r="Q130" s="26">
        <v>0.25952620446865432</v>
      </c>
      <c r="R130" s="26">
        <v>0.63936613045796464</v>
      </c>
      <c r="S130" s="27">
        <v>3.8773456433386258E-3</v>
      </c>
    </row>
    <row r="131" spans="1:19" ht="12.5" x14ac:dyDescent="0.25">
      <c r="B131" s="18" t="s">
        <v>315</v>
      </c>
      <c r="C131" s="19" t="s">
        <v>179</v>
      </c>
      <c r="D131" s="19" t="s">
        <v>603</v>
      </c>
      <c r="E131" s="19" t="s">
        <v>266</v>
      </c>
      <c r="F131" s="19" t="s">
        <v>23</v>
      </c>
      <c r="G131" s="19" t="s">
        <v>181</v>
      </c>
      <c r="H131" s="20">
        <v>39289</v>
      </c>
      <c r="I131" s="21">
        <v>14</v>
      </c>
      <c r="J131" s="22">
        <v>39293</v>
      </c>
      <c r="K131" s="23">
        <v>4966</v>
      </c>
      <c r="L131" s="23">
        <v>5168</v>
      </c>
      <c r="M131" s="24">
        <v>286728400</v>
      </c>
      <c r="N131" s="24">
        <v>0</v>
      </c>
      <c r="O131" s="25">
        <v>286728400</v>
      </c>
      <c r="P131" s="26">
        <v>9.6405663322185059E-2</v>
      </c>
      <c r="Q131" s="26">
        <v>0.23837311036789297</v>
      </c>
      <c r="R131" s="26">
        <v>0.66340026755852843</v>
      </c>
      <c r="S131" s="27">
        <v>1.8209587513935341E-3</v>
      </c>
    </row>
    <row r="132" spans="1:19" ht="12.5" x14ac:dyDescent="0.25">
      <c r="B132" s="18" t="s">
        <v>316</v>
      </c>
      <c r="C132" s="19" t="s">
        <v>184</v>
      </c>
      <c r="D132" s="19" t="s">
        <v>614</v>
      </c>
      <c r="E132" s="19" t="s">
        <v>180</v>
      </c>
      <c r="F132" s="19" t="s">
        <v>23</v>
      </c>
      <c r="G132" s="19" t="s">
        <v>181</v>
      </c>
      <c r="H132" s="20">
        <v>39289</v>
      </c>
      <c r="I132" s="21">
        <v>22.5</v>
      </c>
      <c r="J132" s="22">
        <v>39293</v>
      </c>
      <c r="K132" s="23">
        <v>10782</v>
      </c>
      <c r="L132" s="23">
        <v>11320</v>
      </c>
      <c r="M132" s="24">
        <v>268164000</v>
      </c>
      <c r="N132" s="24">
        <v>178776000</v>
      </c>
      <c r="O132" s="25">
        <v>446940000</v>
      </c>
      <c r="P132" s="26">
        <v>8.915547461871158E-2</v>
      </c>
      <c r="Q132" s="26">
        <v>0.2640286995044564</v>
      </c>
      <c r="R132" s="26">
        <v>0.64297273634628516</v>
      </c>
      <c r="S132" s="27">
        <v>3.8430895305468491E-3</v>
      </c>
    </row>
    <row r="133" spans="1:19" ht="12.5" x14ac:dyDescent="0.25">
      <c r="B133" s="18" t="s">
        <v>317</v>
      </c>
      <c r="C133" s="19" t="s">
        <v>189</v>
      </c>
      <c r="D133" s="19" t="s">
        <v>591</v>
      </c>
      <c r="E133" s="19" t="s">
        <v>202</v>
      </c>
      <c r="F133" s="19" t="s">
        <v>24</v>
      </c>
      <c r="G133" s="19" t="s">
        <v>181</v>
      </c>
      <c r="H133" s="20">
        <v>39287</v>
      </c>
      <c r="I133" s="21">
        <v>12</v>
      </c>
      <c r="J133" s="22">
        <v>39294</v>
      </c>
      <c r="K133" s="23">
        <v>13220</v>
      </c>
      <c r="L133" s="23">
        <v>13799</v>
      </c>
      <c r="M133" s="24">
        <v>799999992</v>
      </c>
      <c r="N133" s="24">
        <v>1286956524</v>
      </c>
      <c r="O133" s="25">
        <v>2086956516</v>
      </c>
      <c r="P133" s="26">
        <v>6.0390630603906308E-2</v>
      </c>
      <c r="Q133" s="26">
        <v>6.9262740692627403E-2</v>
      </c>
      <c r="R133" s="26">
        <v>0.84492629344926296</v>
      </c>
      <c r="S133" s="27">
        <v>2.5420335254203352E-2</v>
      </c>
    </row>
    <row r="134" spans="1:19" ht="12.5" x14ac:dyDescent="0.25">
      <c r="B134" s="18" t="s">
        <v>318</v>
      </c>
      <c r="C134" s="19" t="s">
        <v>240</v>
      </c>
      <c r="D134" s="19" t="s">
        <v>592</v>
      </c>
      <c r="E134" s="19" t="s">
        <v>185</v>
      </c>
      <c r="F134" s="19" t="s">
        <v>23</v>
      </c>
      <c r="G134" s="19" t="s">
        <v>181</v>
      </c>
      <c r="H134" s="20">
        <v>39310</v>
      </c>
      <c r="I134" s="21">
        <v>21.05</v>
      </c>
      <c r="J134" s="22">
        <v>39311</v>
      </c>
      <c r="K134" s="23">
        <v>1560</v>
      </c>
      <c r="L134" s="23">
        <v>1819</v>
      </c>
      <c r="M134" s="24">
        <v>275016439.69999999</v>
      </c>
      <c r="N134" s="24">
        <v>0</v>
      </c>
      <c r="O134" s="25">
        <v>275016439.69999999</v>
      </c>
      <c r="P134" s="26">
        <v>8.5760310893819736E-3</v>
      </c>
      <c r="Q134" s="26">
        <v>6.497336091262379E-2</v>
      </c>
      <c r="R134" s="26">
        <v>0.9262526728630528</v>
      </c>
      <c r="S134" s="27">
        <v>1.9793513494152832E-4</v>
      </c>
    </row>
    <row r="135" spans="1:19" ht="12.5" x14ac:dyDescent="0.25">
      <c r="A135" s="50"/>
      <c r="B135" s="18" t="s">
        <v>319</v>
      </c>
      <c r="C135" s="19" t="s">
        <v>179</v>
      </c>
      <c r="D135" s="19" t="s">
        <v>601</v>
      </c>
      <c r="E135" s="19" t="s">
        <v>180</v>
      </c>
      <c r="F135" s="19" t="s">
        <v>23</v>
      </c>
      <c r="G135" s="19" t="s">
        <v>181</v>
      </c>
      <c r="H135" s="20">
        <v>39344</v>
      </c>
      <c r="I135" s="21">
        <v>13</v>
      </c>
      <c r="J135" s="22">
        <v>39346</v>
      </c>
      <c r="K135" s="23">
        <v>6756</v>
      </c>
      <c r="L135" s="23">
        <v>7211</v>
      </c>
      <c r="M135" s="24">
        <v>227766344</v>
      </c>
      <c r="N135" s="24">
        <v>184774057</v>
      </c>
      <c r="O135" s="25">
        <v>412540401</v>
      </c>
      <c r="P135" s="26">
        <v>8.6447897709144489E-2</v>
      </c>
      <c r="Q135" s="26">
        <v>0.21924022389117181</v>
      </c>
      <c r="R135" s="26">
        <v>0.68953015553518604</v>
      </c>
      <c r="S135" s="27">
        <v>4.7817228644976093E-3</v>
      </c>
    </row>
    <row r="136" spans="1:19" ht="12.5" x14ac:dyDescent="0.25">
      <c r="B136" s="18" t="s">
        <v>320</v>
      </c>
      <c r="C136" s="19" t="s">
        <v>184</v>
      </c>
      <c r="D136" s="19" t="s">
        <v>588</v>
      </c>
      <c r="E136" s="19" t="s">
        <v>192</v>
      </c>
      <c r="F136" s="19" t="s">
        <v>23</v>
      </c>
      <c r="G136" s="19" t="s">
        <v>181</v>
      </c>
      <c r="H136" s="20">
        <v>39358</v>
      </c>
      <c r="I136" s="21">
        <v>31</v>
      </c>
      <c r="J136" s="22">
        <v>39360</v>
      </c>
      <c r="K136" s="23">
        <v>19047</v>
      </c>
      <c r="L136" s="23">
        <v>19979</v>
      </c>
      <c r="M136" s="24">
        <v>775000000</v>
      </c>
      <c r="N136" s="24">
        <v>0</v>
      </c>
      <c r="O136" s="25">
        <v>775000000</v>
      </c>
      <c r="P136" s="26">
        <v>8.90986E-2</v>
      </c>
      <c r="Q136" s="26">
        <v>2.9223200000000001E-2</v>
      </c>
      <c r="R136" s="26">
        <v>0.87409999999999999</v>
      </c>
      <c r="S136" s="27">
        <v>7.5782000000000002E-3</v>
      </c>
    </row>
    <row r="137" spans="1:19" ht="12.5" x14ac:dyDescent="0.25">
      <c r="B137" s="18" t="s">
        <v>321</v>
      </c>
      <c r="C137" s="19" t="s">
        <v>189</v>
      </c>
      <c r="D137" s="19" t="s">
        <v>591</v>
      </c>
      <c r="E137" s="19" t="s">
        <v>180</v>
      </c>
      <c r="F137" s="19" t="s">
        <v>23</v>
      </c>
      <c r="G137" s="19" t="s">
        <v>181</v>
      </c>
      <c r="H137" s="20">
        <v>39365</v>
      </c>
      <c r="I137" s="21">
        <v>11.5</v>
      </c>
      <c r="J137" s="22">
        <v>39370</v>
      </c>
      <c r="K137" s="23">
        <v>5158</v>
      </c>
      <c r="L137" s="23">
        <v>6257</v>
      </c>
      <c r="M137" s="24">
        <v>492915645</v>
      </c>
      <c r="N137" s="24">
        <v>328610430</v>
      </c>
      <c r="O137" s="25">
        <v>821526075</v>
      </c>
      <c r="P137" s="26">
        <v>4.918085223283996E-2</v>
      </c>
      <c r="Q137" s="26">
        <v>8.6446248830263847E-2</v>
      </c>
      <c r="R137" s="26">
        <v>0.84910050177043983</v>
      </c>
      <c r="S137" s="27">
        <v>1.5272397166456342E-2</v>
      </c>
    </row>
    <row r="138" spans="1:19" ht="12.5" x14ac:dyDescent="0.25">
      <c r="B138" s="18" t="s">
        <v>322</v>
      </c>
      <c r="C138" s="19" t="s">
        <v>179</v>
      </c>
      <c r="D138" s="19" t="s">
        <v>596</v>
      </c>
      <c r="E138" s="19" t="s">
        <v>185</v>
      </c>
      <c r="F138" s="19" t="s">
        <v>23</v>
      </c>
      <c r="G138" s="19" t="s">
        <v>181</v>
      </c>
      <c r="H138" s="20">
        <v>39366</v>
      </c>
      <c r="I138" s="21">
        <v>11</v>
      </c>
      <c r="J138" s="22">
        <v>39370</v>
      </c>
      <c r="K138" s="23">
        <v>2427</v>
      </c>
      <c r="L138" s="23">
        <v>2713</v>
      </c>
      <c r="M138" s="24">
        <v>330281050</v>
      </c>
      <c r="N138" s="24">
        <v>0</v>
      </c>
      <c r="O138" s="25">
        <v>330281050</v>
      </c>
      <c r="P138" s="26">
        <v>5.2722532644321272E-2</v>
      </c>
      <c r="Q138" s="26">
        <v>3.5100614260749563E-2</v>
      </c>
      <c r="R138" s="26">
        <v>0.90793702889800576</v>
      </c>
      <c r="S138" s="27">
        <v>4.239824196923446E-3</v>
      </c>
    </row>
    <row r="139" spans="1:19" ht="12.5" x14ac:dyDescent="0.25">
      <c r="B139" s="18" t="s">
        <v>323</v>
      </c>
      <c r="C139" s="19" t="s">
        <v>179</v>
      </c>
      <c r="D139" s="19" t="s">
        <v>596</v>
      </c>
      <c r="E139" s="19" t="s">
        <v>204</v>
      </c>
      <c r="F139" s="19" t="s">
        <v>23</v>
      </c>
      <c r="G139" s="19" t="s">
        <v>181</v>
      </c>
      <c r="H139" s="20">
        <v>39365</v>
      </c>
      <c r="I139" s="21">
        <v>9</v>
      </c>
      <c r="J139" s="22">
        <v>39370</v>
      </c>
      <c r="K139" s="23">
        <v>10040</v>
      </c>
      <c r="L139" s="23">
        <v>10636</v>
      </c>
      <c r="M139" s="24">
        <v>603000000</v>
      </c>
      <c r="N139" s="24">
        <v>0</v>
      </c>
      <c r="O139" s="25">
        <v>603000000</v>
      </c>
      <c r="P139" s="26">
        <v>9.7599935107073335E-2</v>
      </c>
      <c r="Q139" s="26">
        <v>0.21687780661907852</v>
      </c>
      <c r="R139" s="26">
        <v>0.68289958468526935</v>
      </c>
      <c r="S139" s="27">
        <v>2.6226735885788448E-3</v>
      </c>
    </row>
    <row r="140" spans="1:19" ht="12.5" x14ac:dyDescent="0.25">
      <c r="B140" s="18" t="s">
        <v>324</v>
      </c>
      <c r="C140" s="19" t="s">
        <v>184</v>
      </c>
      <c r="D140" s="19" t="s">
        <v>614</v>
      </c>
      <c r="E140" s="19" t="s">
        <v>202</v>
      </c>
      <c r="F140" s="19" t="s">
        <v>23</v>
      </c>
      <c r="G140" s="19" t="s">
        <v>181</v>
      </c>
      <c r="H140" s="20">
        <v>39371</v>
      </c>
      <c r="I140" s="21">
        <v>33</v>
      </c>
      <c r="J140" s="22">
        <v>39373</v>
      </c>
      <c r="K140" s="23">
        <v>3681</v>
      </c>
      <c r="L140" s="23">
        <v>3875</v>
      </c>
      <c r="M140" s="24">
        <v>288750000</v>
      </c>
      <c r="N140" s="24">
        <v>123750000</v>
      </c>
      <c r="O140" s="25">
        <v>412500000</v>
      </c>
      <c r="P140" s="26">
        <v>6.445892173913044E-2</v>
      </c>
      <c r="Q140" s="26">
        <v>0.13756173913043479</v>
      </c>
      <c r="R140" s="26">
        <v>0.79674782608695649</v>
      </c>
      <c r="S140" s="27">
        <v>1.231513043478261E-3</v>
      </c>
    </row>
    <row r="141" spans="1:19" ht="12.5" x14ac:dyDescent="0.25">
      <c r="B141" s="18" t="s">
        <v>278</v>
      </c>
      <c r="C141" s="19" t="s">
        <v>179</v>
      </c>
      <c r="D141" s="19" t="s">
        <v>603</v>
      </c>
      <c r="E141" s="19" t="s">
        <v>204</v>
      </c>
      <c r="F141" s="19" t="s">
        <v>24</v>
      </c>
      <c r="G141" s="19" t="s">
        <v>181</v>
      </c>
      <c r="H141" s="20">
        <v>39372</v>
      </c>
      <c r="I141" s="21">
        <v>25</v>
      </c>
      <c r="J141" s="22">
        <v>39374</v>
      </c>
      <c r="K141" s="23">
        <v>2294</v>
      </c>
      <c r="L141" s="23">
        <v>2643</v>
      </c>
      <c r="M141" s="24">
        <v>664450000</v>
      </c>
      <c r="N141" s="24">
        <v>0</v>
      </c>
      <c r="O141" s="25">
        <v>664450000</v>
      </c>
      <c r="P141" s="26">
        <v>3.0928407407407408E-2</v>
      </c>
      <c r="Q141" s="26">
        <v>7.591188888888889E-2</v>
      </c>
      <c r="R141" s="26">
        <v>0.6919494074074074</v>
      </c>
      <c r="S141" s="27">
        <v>0.2012102962962963</v>
      </c>
    </row>
    <row r="142" spans="1:19" ht="12.5" x14ac:dyDescent="0.25">
      <c r="B142" s="18" t="s">
        <v>325</v>
      </c>
      <c r="C142" s="19" t="s">
        <v>179</v>
      </c>
      <c r="D142" s="19" t="s">
        <v>595</v>
      </c>
      <c r="E142" s="19" t="s">
        <v>202</v>
      </c>
      <c r="F142" s="19" t="s">
        <v>23</v>
      </c>
      <c r="G142" s="19" t="s">
        <v>181</v>
      </c>
      <c r="H142" s="20">
        <v>39373</v>
      </c>
      <c r="I142" s="21">
        <v>10</v>
      </c>
      <c r="J142" s="22">
        <v>39377</v>
      </c>
      <c r="K142" s="23">
        <v>13012</v>
      </c>
      <c r="L142" s="23">
        <v>13733</v>
      </c>
      <c r="M142" s="24">
        <v>506000000</v>
      </c>
      <c r="N142" s="24">
        <v>0</v>
      </c>
      <c r="O142" s="25">
        <v>506000000</v>
      </c>
      <c r="P142" s="26">
        <v>8.9357351778656127E-2</v>
      </c>
      <c r="Q142" s="26">
        <v>0.26814037549407116</v>
      </c>
      <c r="R142" s="26">
        <v>0.63801079051383403</v>
      </c>
      <c r="S142" s="27">
        <v>4.4914822134387352E-3</v>
      </c>
    </row>
    <row r="143" spans="1:19" ht="12.5" x14ac:dyDescent="0.25">
      <c r="B143" s="18" t="s">
        <v>264</v>
      </c>
      <c r="C143" s="19" t="s">
        <v>179</v>
      </c>
      <c r="D143" s="19" t="s">
        <v>596</v>
      </c>
      <c r="E143" s="19" t="s">
        <v>180</v>
      </c>
      <c r="F143" s="19" t="s">
        <v>24</v>
      </c>
      <c r="G143" s="19" t="s">
        <v>181</v>
      </c>
      <c r="H143" s="20">
        <v>39377</v>
      </c>
      <c r="I143" s="21">
        <v>25</v>
      </c>
      <c r="J143" s="22">
        <v>39378</v>
      </c>
      <c r="K143" s="23">
        <v>931</v>
      </c>
      <c r="L143" s="23">
        <v>1062</v>
      </c>
      <c r="M143" s="24">
        <v>575000000</v>
      </c>
      <c r="N143" s="24">
        <v>0</v>
      </c>
      <c r="O143" s="25">
        <v>575000000</v>
      </c>
      <c r="P143" s="26">
        <v>6.0863130434782607E-2</v>
      </c>
      <c r="Q143" s="26">
        <v>0.24528152173913043</v>
      </c>
      <c r="R143" s="26">
        <v>0.60593360869565216</v>
      </c>
      <c r="S143" s="27">
        <v>8.7921739130434787E-2</v>
      </c>
    </row>
    <row r="144" spans="1:19" ht="12.5" x14ac:dyDescent="0.25">
      <c r="B144" s="18" t="s">
        <v>326</v>
      </c>
      <c r="C144" s="19" t="s">
        <v>240</v>
      </c>
      <c r="D144" s="19" t="s">
        <v>625</v>
      </c>
      <c r="E144" s="19" t="s">
        <v>202</v>
      </c>
      <c r="F144" s="19" t="s">
        <v>23</v>
      </c>
      <c r="G144" s="19" t="s">
        <v>181</v>
      </c>
      <c r="H144" s="20">
        <v>39378</v>
      </c>
      <c r="I144" s="21">
        <v>10.4</v>
      </c>
      <c r="J144" s="22">
        <v>39380</v>
      </c>
      <c r="K144" s="23">
        <v>799</v>
      </c>
      <c r="L144" s="23">
        <v>908</v>
      </c>
      <c r="M144" s="24">
        <v>666187454.39999998</v>
      </c>
      <c r="N144" s="24">
        <v>0</v>
      </c>
      <c r="O144" s="25">
        <v>666187454.39999998</v>
      </c>
      <c r="P144" s="26">
        <v>9.2767354635136332E-3</v>
      </c>
      <c r="Q144" s="26">
        <v>2.572742621386653E-2</v>
      </c>
      <c r="R144" s="26">
        <v>0.87839274994554739</v>
      </c>
      <c r="S144" s="27">
        <v>8.6603088377072535E-2</v>
      </c>
    </row>
    <row r="145" spans="2:20" ht="12.5" x14ac:dyDescent="0.25">
      <c r="B145" s="18" t="s">
        <v>327</v>
      </c>
      <c r="C145" s="19" t="s">
        <v>179</v>
      </c>
      <c r="D145" s="19" t="s">
        <v>621</v>
      </c>
      <c r="E145" s="19" t="s">
        <v>202</v>
      </c>
      <c r="F145" s="19" t="s">
        <v>23</v>
      </c>
      <c r="G145" s="19" t="s">
        <v>181</v>
      </c>
      <c r="H145" s="20">
        <v>39379</v>
      </c>
      <c r="I145" s="21">
        <v>23</v>
      </c>
      <c r="J145" s="22">
        <v>39381</v>
      </c>
      <c r="K145" s="23">
        <v>63929</v>
      </c>
      <c r="L145" s="23">
        <v>67914</v>
      </c>
      <c r="M145" s="24">
        <v>0</v>
      </c>
      <c r="N145" s="24">
        <v>6625520875</v>
      </c>
      <c r="O145" s="25">
        <v>6625520875</v>
      </c>
      <c r="P145" s="26">
        <v>8.9246342311162061E-2</v>
      </c>
      <c r="Q145" s="26">
        <v>0.12731819126598104</v>
      </c>
      <c r="R145" s="26">
        <v>0.78023958214455102</v>
      </c>
      <c r="S145" s="27">
        <v>3.1958842783058926E-3</v>
      </c>
      <c r="T145" s="1"/>
    </row>
    <row r="146" spans="2:20" ht="12.5" x14ac:dyDescent="0.25">
      <c r="B146" s="18" t="s">
        <v>328</v>
      </c>
      <c r="C146" s="19" t="s">
        <v>179</v>
      </c>
      <c r="D146" s="19" t="s">
        <v>610</v>
      </c>
      <c r="E146" s="19" t="s">
        <v>202</v>
      </c>
      <c r="F146" s="19" t="s">
        <v>23</v>
      </c>
      <c r="G146" s="19" t="s">
        <v>181</v>
      </c>
      <c r="H146" s="20">
        <v>39380</v>
      </c>
      <c r="I146" s="21">
        <v>950</v>
      </c>
      <c r="J146" s="22">
        <v>39384</v>
      </c>
      <c r="K146" s="23">
        <v>13</v>
      </c>
      <c r="L146" s="23">
        <v>130</v>
      </c>
      <c r="M146" s="24">
        <v>304017100</v>
      </c>
      <c r="N146" s="24">
        <v>395087900</v>
      </c>
      <c r="O146" s="25">
        <v>699105000</v>
      </c>
      <c r="P146" s="26">
        <v>5.2996331023236849E-3</v>
      </c>
      <c r="Q146" s="26">
        <v>1.4841690447071614E-2</v>
      </c>
      <c r="R146" s="26">
        <v>0.97985867645060465</v>
      </c>
      <c r="S146" s="27">
        <v>0</v>
      </c>
      <c r="T146" s="1"/>
    </row>
    <row r="147" spans="2:20" ht="12.5" x14ac:dyDescent="0.25">
      <c r="B147" s="18" t="s">
        <v>329</v>
      </c>
      <c r="C147" s="19" t="s">
        <v>179</v>
      </c>
      <c r="D147" s="19" t="s">
        <v>587</v>
      </c>
      <c r="E147" s="19" t="s">
        <v>202</v>
      </c>
      <c r="F147" s="19" t="s">
        <v>23</v>
      </c>
      <c r="G147" s="19" t="s">
        <v>181</v>
      </c>
      <c r="H147" s="20">
        <v>39380</v>
      </c>
      <c r="I147" s="21">
        <v>14</v>
      </c>
      <c r="J147" s="22">
        <v>39384</v>
      </c>
      <c r="K147" s="23">
        <v>4340</v>
      </c>
      <c r="L147" s="23">
        <v>4675</v>
      </c>
      <c r="M147" s="24">
        <v>994700000</v>
      </c>
      <c r="N147" s="24">
        <v>406000000</v>
      </c>
      <c r="O147" s="25">
        <v>1400700000</v>
      </c>
      <c r="P147" s="26">
        <v>3.8417471264367814E-2</v>
      </c>
      <c r="Q147" s="26">
        <v>0.15639552223888056</v>
      </c>
      <c r="R147" s="26">
        <v>0.80452467766116942</v>
      </c>
      <c r="S147" s="27">
        <v>6.623288355822089E-4</v>
      </c>
      <c r="T147" s="1"/>
    </row>
    <row r="148" spans="2:20" ht="12.5" x14ac:dyDescent="0.25">
      <c r="B148" s="18" t="s">
        <v>330</v>
      </c>
      <c r="C148" s="19" t="s">
        <v>179</v>
      </c>
      <c r="D148" s="19" t="s">
        <v>596</v>
      </c>
      <c r="E148" s="19" t="s">
        <v>190</v>
      </c>
      <c r="F148" s="19" t="s">
        <v>23</v>
      </c>
      <c r="G148" s="19" t="s">
        <v>181</v>
      </c>
      <c r="H148" s="20">
        <v>39379</v>
      </c>
      <c r="I148" s="21">
        <v>11</v>
      </c>
      <c r="J148" s="22">
        <v>39384</v>
      </c>
      <c r="K148" s="23">
        <v>709</v>
      </c>
      <c r="L148" s="23">
        <v>845</v>
      </c>
      <c r="M148" s="24">
        <v>251832053</v>
      </c>
      <c r="N148" s="24">
        <v>0</v>
      </c>
      <c r="O148" s="25">
        <v>251832053</v>
      </c>
      <c r="P148" s="26">
        <v>6.4511614699428538E-2</v>
      </c>
      <c r="Q148" s="26">
        <v>0.34599387067754239</v>
      </c>
      <c r="R148" s="26">
        <v>0.55525000428967808</v>
      </c>
      <c r="S148" s="27">
        <v>3.4244510333350985E-2</v>
      </c>
      <c r="T148" s="1"/>
    </row>
    <row r="149" spans="2:20" ht="12.5" x14ac:dyDescent="0.25">
      <c r="B149" s="18" t="s">
        <v>331</v>
      </c>
      <c r="C149" s="19" t="s">
        <v>240</v>
      </c>
      <c r="D149" s="19" t="s">
        <v>626</v>
      </c>
      <c r="E149" s="19" t="s">
        <v>180</v>
      </c>
      <c r="F149" s="19" t="s">
        <v>23</v>
      </c>
      <c r="G149" s="19" t="s">
        <v>181</v>
      </c>
      <c r="H149" s="20">
        <v>39381</v>
      </c>
      <c r="I149" s="21">
        <v>7.5</v>
      </c>
      <c r="J149" s="22">
        <v>39386</v>
      </c>
      <c r="K149" s="23">
        <v>556</v>
      </c>
      <c r="L149" s="23">
        <v>706</v>
      </c>
      <c r="M149" s="24">
        <v>507611107.5</v>
      </c>
      <c r="N149" s="24">
        <v>0</v>
      </c>
      <c r="O149" s="25">
        <v>507611107.5</v>
      </c>
      <c r="P149" s="26">
        <v>8.3484727528347086E-3</v>
      </c>
      <c r="Q149" s="26">
        <v>0.26550742883418876</v>
      </c>
      <c r="R149" s="26">
        <v>0.72549238395064075</v>
      </c>
      <c r="S149" s="27">
        <v>6.5171446233571633E-4</v>
      </c>
      <c r="T149" s="1"/>
    </row>
    <row r="150" spans="2:20" ht="12.5" x14ac:dyDescent="0.25">
      <c r="B150" s="18" t="s">
        <v>332</v>
      </c>
      <c r="C150" s="19" t="s">
        <v>189</v>
      </c>
      <c r="D150" s="19" t="s">
        <v>591</v>
      </c>
      <c r="E150" s="19" t="s">
        <v>180</v>
      </c>
      <c r="F150" s="19" t="s">
        <v>23</v>
      </c>
      <c r="G150" s="19" t="s">
        <v>181</v>
      </c>
      <c r="H150" s="20">
        <v>39399</v>
      </c>
      <c r="I150" s="21">
        <v>10</v>
      </c>
      <c r="J150" s="22">
        <v>39405</v>
      </c>
      <c r="K150" s="23">
        <v>21044</v>
      </c>
      <c r="L150" s="23">
        <v>21792</v>
      </c>
      <c r="M150" s="24">
        <v>700426000</v>
      </c>
      <c r="N150" s="24">
        <v>0</v>
      </c>
      <c r="O150" s="25">
        <v>700426000</v>
      </c>
      <c r="P150" s="26">
        <v>0.10352751008977844</v>
      </c>
      <c r="Q150" s="26">
        <v>0.22404301540235566</v>
      </c>
      <c r="R150" s="26">
        <v>0.6705939584877687</v>
      </c>
      <c r="S150" s="27">
        <v>1.8355160200971914E-3</v>
      </c>
      <c r="T150" s="1"/>
    </row>
    <row r="151" spans="2:20" ht="12.5" x14ac:dyDescent="0.25">
      <c r="B151" s="18" t="s">
        <v>333</v>
      </c>
      <c r="C151" s="19" t="s">
        <v>179</v>
      </c>
      <c r="D151" s="19" t="s">
        <v>621</v>
      </c>
      <c r="E151" s="19" t="s">
        <v>190</v>
      </c>
      <c r="F151" s="19" t="s">
        <v>23</v>
      </c>
      <c r="G151" s="19" t="s">
        <v>181</v>
      </c>
      <c r="H151" s="20">
        <v>39414</v>
      </c>
      <c r="I151" s="21">
        <v>20</v>
      </c>
      <c r="J151" s="22">
        <v>39416</v>
      </c>
      <c r="K151" s="23">
        <v>253707</v>
      </c>
      <c r="L151" s="23">
        <v>260946</v>
      </c>
      <c r="M151" s="24">
        <v>0</v>
      </c>
      <c r="N151" s="24">
        <v>5983696920</v>
      </c>
      <c r="O151" s="25">
        <v>5983696920</v>
      </c>
      <c r="P151" s="26">
        <v>9.9923018828299875E-2</v>
      </c>
      <c r="Q151" s="26">
        <v>0.1218459607409394</v>
      </c>
      <c r="R151" s="26">
        <v>0.77356249186497905</v>
      </c>
      <c r="S151" s="27">
        <v>4.6685285657817044E-3</v>
      </c>
      <c r="T151" s="1"/>
    </row>
    <row r="152" spans="2:20" ht="12.5" x14ac:dyDescent="0.25">
      <c r="B152" s="18" t="s">
        <v>334</v>
      </c>
      <c r="C152" s="19" t="s">
        <v>179</v>
      </c>
      <c r="D152" s="19" t="s">
        <v>584</v>
      </c>
      <c r="E152" s="19" t="s">
        <v>180</v>
      </c>
      <c r="F152" s="19" t="s">
        <v>23</v>
      </c>
      <c r="G152" s="19" t="s">
        <v>181</v>
      </c>
      <c r="H152" s="20">
        <v>39428</v>
      </c>
      <c r="I152" s="21">
        <v>1006.63</v>
      </c>
      <c r="J152" s="22">
        <v>39430</v>
      </c>
      <c r="K152" s="23">
        <v>148</v>
      </c>
      <c r="L152" s="23">
        <v>325</v>
      </c>
      <c r="M152" s="24">
        <v>2035409886.52</v>
      </c>
      <c r="N152" s="24">
        <v>0</v>
      </c>
      <c r="O152" s="25">
        <v>2035409886.52</v>
      </c>
      <c r="P152" s="26">
        <v>2.1324128581503527E-2</v>
      </c>
      <c r="Q152" s="26">
        <v>8.8957495167413941E-2</v>
      </c>
      <c r="R152" s="26">
        <v>0.71427266382375398</v>
      </c>
      <c r="S152" s="27">
        <v>0.17544571242732848</v>
      </c>
      <c r="T152" s="1"/>
    </row>
    <row r="153" spans="2:20" ht="12.5" x14ac:dyDescent="0.25">
      <c r="B153" s="18" t="s">
        <v>255</v>
      </c>
      <c r="C153" s="19" t="s">
        <v>179</v>
      </c>
      <c r="D153" s="19" t="s">
        <v>606</v>
      </c>
      <c r="E153" s="19" t="s">
        <v>202</v>
      </c>
      <c r="F153" s="19" t="s">
        <v>24</v>
      </c>
      <c r="G153" s="19" t="s">
        <v>181</v>
      </c>
      <c r="H153" s="20">
        <v>39428</v>
      </c>
      <c r="I153" s="21">
        <v>45</v>
      </c>
      <c r="J153" s="22">
        <v>39430</v>
      </c>
      <c r="K153" s="23">
        <v>13888</v>
      </c>
      <c r="L153" s="23">
        <v>14688</v>
      </c>
      <c r="M153" s="24">
        <v>933489000</v>
      </c>
      <c r="N153" s="24">
        <v>0</v>
      </c>
      <c r="O153" s="25">
        <v>933489000</v>
      </c>
      <c r="P153" s="26">
        <v>9.8723608695652179E-2</v>
      </c>
      <c r="Q153" s="26">
        <v>0.5772429130434783</v>
      </c>
      <c r="R153" s="26">
        <v>0.26474652173913044</v>
      </c>
      <c r="S153" s="27">
        <v>5.9286956521739133E-2</v>
      </c>
      <c r="T153" s="1"/>
    </row>
    <row r="154" spans="2:20" ht="12.5" x14ac:dyDescent="0.25">
      <c r="B154" s="18" t="s">
        <v>242</v>
      </c>
      <c r="C154" s="19" t="s">
        <v>179</v>
      </c>
      <c r="D154" s="19" t="s">
        <v>591</v>
      </c>
      <c r="E154" s="19" t="s">
        <v>243</v>
      </c>
      <c r="F154" s="19" t="s">
        <v>24</v>
      </c>
      <c r="G154" s="19" t="s">
        <v>181</v>
      </c>
      <c r="H154" s="20">
        <v>39429</v>
      </c>
      <c r="I154" s="21">
        <v>29.25</v>
      </c>
      <c r="J154" s="22">
        <v>39433</v>
      </c>
      <c r="K154" s="23">
        <v>115013</v>
      </c>
      <c r="L154" s="23">
        <v>122023</v>
      </c>
      <c r="M154" s="24">
        <v>0</v>
      </c>
      <c r="N154" s="24">
        <v>3443996702.25</v>
      </c>
      <c r="O154" s="25">
        <v>3443996702.25</v>
      </c>
      <c r="P154" s="26">
        <v>0.36502331250163439</v>
      </c>
      <c r="Q154" s="26">
        <v>0.17009455224428272</v>
      </c>
      <c r="R154" s="26">
        <v>0.43541776840852087</v>
      </c>
      <c r="S154" s="27">
        <v>2.9464366845562071E-2</v>
      </c>
      <c r="T154" s="1"/>
    </row>
    <row r="155" spans="2:20" ht="13" thickBot="1" x14ac:dyDescent="0.3">
      <c r="B155" s="30" t="s">
        <v>335</v>
      </c>
      <c r="C155" s="31" t="s">
        <v>179</v>
      </c>
      <c r="D155" s="31" t="s">
        <v>587</v>
      </c>
      <c r="E155" s="31" t="s">
        <v>180</v>
      </c>
      <c r="F155" s="31" t="s">
        <v>23</v>
      </c>
      <c r="G155" s="31" t="s">
        <v>181</v>
      </c>
      <c r="H155" s="32">
        <v>39433</v>
      </c>
      <c r="I155" s="33">
        <v>7</v>
      </c>
      <c r="J155" s="34">
        <v>39435</v>
      </c>
      <c r="K155" s="35">
        <v>3791</v>
      </c>
      <c r="L155" s="35">
        <v>3938</v>
      </c>
      <c r="M155" s="36">
        <v>393750000</v>
      </c>
      <c r="N155" s="36">
        <v>26045600</v>
      </c>
      <c r="O155" s="37">
        <v>419795600</v>
      </c>
      <c r="P155" s="38">
        <v>8.6450086956521732E-2</v>
      </c>
      <c r="Q155" s="38">
        <v>6.7374716908212562E-2</v>
      </c>
      <c r="R155" s="38">
        <v>0.83723370048309176</v>
      </c>
      <c r="S155" s="39">
        <v>8.9414956521739128E-3</v>
      </c>
      <c r="T155" s="1"/>
    </row>
    <row r="156" spans="2:20" ht="13" thickTop="1" x14ac:dyDescent="0.25">
      <c r="B156" s="40" t="s">
        <v>336</v>
      </c>
      <c r="C156" s="41" t="s">
        <v>337</v>
      </c>
      <c r="D156" s="41" t="s">
        <v>615</v>
      </c>
      <c r="E156" s="41" t="s">
        <v>338</v>
      </c>
      <c r="F156" s="41" t="s">
        <v>23</v>
      </c>
      <c r="G156" s="41" t="s">
        <v>181</v>
      </c>
      <c r="H156" s="42">
        <v>39489</v>
      </c>
      <c r="I156" s="43">
        <v>10</v>
      </c>
      <c r="J156" s="44">
        <v>39491</v>
      </c>
      <c r="K156" s="45">
        <v>1</v>
      </c>
      <c r="L156" s="45">
        <v>8</v>
      </c>
      <c r="M156" s="46">
        <v>20701000</v>
      </c>
      <c r="N156" s="46">
        <v>0</v>
      </c>
      <c r="O156" s="47">
        <v>20701000</v>
      </c>
      <c r="P156" s="48">
        <v>0.36713202260760347</v>
      </c>
      <c r="Q156" s="48">
        <v>0.25607458576880343</v>
      </c>
      <c r="R156" s="48">
        <v>0.10627505917588523</v>
      </c>
      <c r="S156" s="49">
        <v>0.27051833244770784</v>
      </c>
      <c r="T156" s="1"/>
    </row>
    <row r="157" spans="2:20" ht="12.5" x14ac:dyDescent="0.25">
      <c r="B157" s="18" t="s">
        <v>239</v>
      </c>
      <c r="C157" s="19" t="s">
        <v>240</v>
      </c>
      <c r="D157" s="19" t="s">
        <v>590</v>
      </c>
      <c r="E157" s="19" t="s">
        <v>202</v>
      </c>
      <c r="F157" s="19" t="s">
        <v>24</v>
      </c>
      <c r="G157" s="19" t="s">
        <v>181</v>
      </c>
      <c r="H157" s="20">
        <v>39500</v>
      </c>
      <c r="I157" s="21">
        <v>59</v>
      </c>
      <c r="J157" s="22">
        <v>39504</v>
      </c>
      <c r="K157" s="23">
        <v>48</v>
      </c>
      <c r="L157" s="23">
        <v>159</v>
      </c>
      <c r="M157" s="24">
        <v>366707007</v>
      </c>
      <c r="N157" s="24">
        <v>0</v>
      </c>
      <c r="O157" s="25">
        <v>366707007</v>
      </c>
      <c r="P157" s="26">
        <v>4.974906574392237E-2</v>
      </c>
      <c r="Q157" s="26">
        <v>6.8729101214038163E-2</v>
      </c>
      <c r="R157" s="26">
        <v>0.87732256776866002</v>
      </c>
      <c r="S157" s="27">
        <v>4.1992652733794092E-3</v>
      </c>
      <c r="T157" s="1"/>
    </row>
    <row r="158" spans="2:20" ht="12.5" x14ac:dyDescent="0.25">
      <c r="B158" s="18" t="s">
        <v>302</v>
      </c>
      <c r="C158" s="19" t="s">
        <v>179</v>
      </c>
      <c r="D158" s="19" t="s">
        <v>621</v>
      </c>
      <c r="E158" s="19" t="s">
        <v>339</v>
      </c>
      <c r="F158" s="19" t="s">
        <v>24</v>
      </c>
      <c r="G158" s="19" t="s">
        <v>181</v>
      </c>
      <c r="H158" s="20">
        <v>39519</v>
      </c>
      <c r="I158" s="21">
        <v>26</v>
      </c>
      <c r="J158" s="22">
        <v>39521</v>
      </c>
      <c r="K158" s="23">
        <v>7218</v>
      </c>
      <c r="L158" s="23">
        <v>7714</v>
      </c>
      <c r="M158" s="24">
        <v>0</v>
      </c>
      <c r="N158" s="24">
        <v>1216703202</v>
      </c>
      <c r="O158" s="25">
        <v>1216703202</v>
      </c>
      <c r="P158" s="26">
        <v>8.1552876524771403E-2</v>
      </c>
      <c r="Q158" s="26">
        <v>0.12009384849140883</v>
      </c>
      <c r="R158" s="26">
        <v>0.79656163673020397</v>
      </c>
      <c r="S158" s="27">
        <v>1.7916382536157737E-3</v>
      </c>
      <c r="T158" s="1"/>
    </row>
    <row r="159" spans="2:20" ht="12.5" x14ac:dyDescent="0.25">
      <c r="B159" s="18" t="s">
        <v>340</v>
      </c>
      <c r="C159" s="19" t="s">
        <v>179</v>
      </c>
      <c r="D159" s="19" t="s">
        <v>593</v>
      </c>
      <c r="E159" s="19" t="s">
        <v>339</v>
      </c>
      <c r="F159" s="19" t="s">
        <v>23</v>
      </c>
      <c r="G159" s="19" t="s">
        <v>181</v>
      </c>
      <c r="H159" s="20">
        <v>39554</v>
      </c>
      <c r="I159" s="21">
        <v>17</v>
      </c>
      <c r="J159" s="22">
        <v>39556</v>
      </c>
      <c r="K159" s="23">
        <v>12933</v>
      </c>
      <c r="L159" s="23">
        <v>13465</v>
      </c>
      <c r="M159" s="24">
        <v>612390099</v>
      </c>
      <c r="N159" s="24">
        <v>0</v>
      </c>
      <c r="O159" s="25">
        <v>612390099</v>
      </c>
      <c r="P159" s="26">
        <v>9.8651726334894788E-2</v>
      </c>
      <c r="Q159" s="26">
        <v>1.5599772666556249E-2</v>
      </c>
      <c r="R159" s="26">
        <v>0.85081234252812543</v>
      </c>
      <c r="S159" s="27">
        <v>3.4936158470423563E-2</v>
      </c>
      <c r="T159" s="1"/>
    </row>
    <row r="160" spans="2:20" ht="12.5" x14ac:dyDescent="0.25">
      <c r="B160" s="18" t="s">
        <v>274</v>
      </c>
      <c r="C160" s="19" t="s">
        <v>184</v>
      </c>
      <c r="D160" s="19" t="s">
        <v>614</v>
      </c>
      <c r="E160" s="19" t="s">
        <v>202</v>
      </c>
      <c r="F160" s="19" t="s">
        <v>24</v>
      </c>
      <c r="G160" s="19" t="s">
        <v>181</v>
      </c>
      <c r="H160" s="20">
        <v>39560</v>
      </c>
      <c r="I160" s="21">
        <v>26</v>
      </c>
      <c r="J160" s="22">
        <v>39561</v>
      </c>
      <c r="K160" s="23">
        <v>1064</v>
      </c>
      <c r="L160" s="23">
        <v>1207</v>
      </c>
      <c r="M160" s="24">
        <v>508300000</v>
      </c>
      <c r="N160" s="24">
        <v>0</v>
      </c>
      <c r="O160" s="25">
        <v>508300000</v>
      </c>
      <c r="P160" s="26">
        <v>3.9412327365728902E-2</v>
      </c>
      <c r="Q160" s="26">
        <v>7.6726342710997447E-4</v>
      </c>
      <c r="R160" s="26">
        <v>0.9575172890025575</v>
      </c>
      <c r="S160" s="27">
        <v>2.3031202046035807E-3</v>
      </c>
      <c r="T160" s="1"/>
    </row>
    <row r="161" spans="2:20" ht="12.5" x14ac:dyDescent="0.25">
      <c r="B161" s="18" t="s">
        <v>224</v>
      </c>
      <c r="C161" s="19" t="s">
        <v>179</v>
      </c>
      <c r="D161" s="19" t="s">
        <v>586</v>
      </c>
      <c r="E161" s="19" t="s">
        <v>243</v>
      </c>
      <c r="F161" s="19" t="s">
        <v>24</v>
      </c>
      <c r="G161" s="19" t="s">
        <v>181</v>
      </c>
      <c r="H161" s="20">
        <v>39561</v>
      </c>
      <c r="I161" s="21">
        <v>24.5</v>
      </c>
      <c r="J161" s="22">
        <v>39563</v>
      </c>
      <c r="K161" s="23">
        <v>747</v>
      </c>
      <c r="L161" s="23">
        <v>939</v>
      </c>
      <c r="M161" s="24">
        <v>0</v>
      </c>
      <c r="N161" s="24">
        <v>460024764.5</v>
      </c>
      <c r="O161" s="25">
        <v>460024764.5</v>
      </c>
      <c r="P161" s="26">
        <v>2.434790768747842E-2</v>
      </c>
      <c r="Q161" s="26">
        <v>0.20458305348472169</v>
      </c>
      <c r="R161" s="26">
        <v>0.77085621985031194</v>
      </c>
      <c r="S161" s="27">
        <v>2.1281897748789565E-4</v>
      </c>
      <c r="T161" s="1"/>
    </row>
    <row r="162" spans="2:20" ht="12.5" x14ac:dyDescent="0.25">
      <c r="B162" s="18" t="s">
        <v>199</v>
      </c>
      <c r="C162" s="19" t="s">
        <v>189</v>
      </c>
      <c r="D162" s="19" t="s">
        <v>589</v>
      </c>
      <c r="E162" s="19" t="s">
        <v>204</v>
      </c>
      <c r="F162" s="19" t="s">
        <v>24</v>
      </c>
      <c r="G162" s="19" t="s">
        <v>181</v>
      </c>
      <c r="H162" s="20">
        <v>39562</v>
      </c>
      <c r="I162" s="21">
        <v>60.3</v>
      </c>
      <c r="J162" s="22">
        <v>39566</v>
      </c>
      <c r="K162" s="23">
        <v>9770</v>
      </c>
      <c r="L162" s="23">
        <v>10800</v>
      </c>
      <c r="M162" s="24">
        <v>2900252959.1999998</v>
      </c>
      <c r="N162" s="24">
        <v>0</v>
      </c>
      <c r="O162" s="25">
        <v>2900252959.1999998</v>
      </c>
      <c r="P162" s="26">
        <v>8.6270816863166525E-2</v>
      </c>
      <c r="Q162" s="26">
        <v>0.11988496844630683</v>
      </c>
      <c r="R162" s="26">
        <v>0.289346850776588</v>
      </c>
      <c r="S162" s="27">
        <v>0.50449736391393873</v>
      </c>
      <c r="T162" s="1"/>
    </row>
    <row r="163" spans="2:20" ht="12.5" x14ac:dyDescent="0.25">
      <c r="B163" s="18" t="s">
        <v>200</v>
      </c>
      <c r="C163" s="19" t="s">
        <v>189</v>
      </c>
      <c r="D163" s="19" t="s">
        <v>589</v>
      </c>
      <c r="E163" s="19" t="s">
        <v>204</v>
      </c>
      <c r="F163" s="19" t="s">
        <v>24</v>
      </c>
      <c r="G163" s="19" t="s">
        <v>181</v>
      </c>
      <c r="H163" s="20">
        <v>39562</v>
      </c>
      <c r="I163" s="21">
        <v>78.349999999999994</v>
      </c>
      <c r="J163" s="22">
        <v>39566</v>
      </c>
      <c r="K163" s="23">
        <v>3238</v>
      </c>
      <c r="L163" s="23">
        <v>3907</v>
      </c>
      <c r="M163" s="24">
        <v>1505181301.55</v>
      </c>
      <c r="N163" s="24">
        <v>0</v>
      </c>
      <c r="O163" s="25">
        <v>1505181301.55</v>
      </c>
      <c r="P163" s="26">
        <v>0.21396582675346351</v>
      </c>
      <c r="Q163" s="26">
        <v>0.35649979155163924</v>
      </c>
      <c r="R163" s="26">
        <v>0.16128203263620991</v>
      </c>
      <c r="S163" s="27">
        <v>0.26825234905868739</v>
      </c>
      <c r="T163" s="1"/>
    </row>
    <row r="164" spans="2:20" ht="12.5" x14ac:dyDescent="0.25">
      <c r="B164" s="18" t="s">
        <v>341</v>
      </c>
      <c r="C164" s="19" t="s">
        <v>179</v>
      </c>
      <c r="D164" s="19" t="s">
        <v>595</v>
      </c>
      <c r="E164" s="19" t="s">
        <v>194</v>
      </c>
      <c r="F164" s="19" t="s">
        <v>23</v>
      </c>
      <c r="G164" s="19" t="s">
        <v>181</v>
      </c>
      <c r="H164" s="20">
        <v>39563</v>
      </c>
      <c r="I164" s="21">
        <v>6.75</v>
      </c>
      <c r="J164" s="22">
        <v>39567</v>
      </c>
      <c r="K164" s="23">
        <v>270</v>
      </c>
      <c r="L164" s="23">
        <v>318</v>
      </c>
      <c r="M164" s="24">
        <v>150187500</v>
      </c>
      <c r="N164" s="24">
        <v>0</v>
      </c>
      <c r="O164" s="25">
        <v>150187500</v>
      </c>
      <c r="P164" s="26">
        <v>1.1775909156245509E-2</v>
      </c>
      <c r="Q164" s="26">
        <v>5.7334541396346413E-3</v>
      </c>
      <c r="R164" s="26">
        <v>0.86861830215464819</v>
      </c>
      <c r="S164" s="27">
        <v>0.11387233454947164</v>
      </c>
      <c r="T164" s="1"/>
    </row>
    <row r="165" spans="2:20" ht="12.5" x14ac:dyDescent="0.25">
      <c r="B165" s="18" t="s">
        <v>342</v>
      </c>
      <c r="C165" s="19" t="s">
        <v>179</v>
      </c>
      <c r="D165" s="19" t="s">
        <v>608</v>
      </c>
      <c r="E165" s="19" t="s">
        <v>180</v>
      </c>
      <c r="F165" s="19" t="s">
        <v>23</v>
      </c>
      <c r="G165" s="19" t="s">
        <v>181</v>
      </c>
      <c r="H165" s="20">
        <v>39610</v>
      </c>
      <c r="I165" s="21">
        <v>1131</v>
      </c>
      <c r="J165" s="22">
        <v>39612</v>
      </c>
      <c r="K165" s="23">
        <v>1308</v>
      </c>
      <c r="L165" s="23">
        <v>2560</v>
      </c>
      <c r="M165" s="24">
        <v>6711662763</v>
      </c>
      <c r="N165" s="24">
        <v>0</v>
      </c>
      <c r="O165" s="25">
        <v>6711662763</v>
      </c>
      <c r="P165" s="26">
        <v>8.0661270554960987E-2</v>
      </c>
      <c r="Q165" s="26">
        <v>8.4198182321575027E-2</v>
      </c>
      <c r="R165" s="26">
        <v>0.63463190857582719</v>
      </c>
      <c r="S165" s="27">
        <v>0.20050863854763676</v>
      </c>
      <c r="T165" s="1"/>
    </row>
    <row r="166" spans="2:20" ht="12.5" x14ac:dyDescent="0.25">
      <c r="B166" s="18" t="s">
        <v>293</v>
      </c>
      <c r="C166" s="19" t="s">
        <v>179</v>
      </c>
      <c r="D166" s="19" t="s">
        <v>627</v>
      </c>
      <c r="E166" s="19" t="s">
        <v>202</v>
      </c>
      <c r="F166" s="19" t="s">
        <v>24</v>
      </c>
      <c r="G166" s="19" t="s">
        <v>181</v>
      </c>
      <c r="H166" s="20">
        <v>39624</v>
      </c>
      <c r="I166" s="21">
        <v>27.5</v>
      </c>
      <c r="J166" s="22">
        <v>39626</v>
      </c>
      <c r="K166" s="23">
        <v>2860</v>
      </c>
      <c r="L166" s="23">
        <v>3076</v>
      </c>
      <c r="M166" s="24">
        <v>258431250</v>
      </c>
      <c r="N166" s="24">
        <v>110756222.5</v>
      </c>
      <c r="O166" s="25">
        <v>369187472.5</v>
      </c>
      <c r="P166" s="26">
        <v>8.4590918777722068E-2</v>
      </c>
      <c r="Q166" s="26">
        <v>0.11771352832130565</v>
      </c>
      <c r="R166" s="26">
        <v>0.78270396891649674</v>
      </c>
      <c r="S166" s="27">
        <v>1.499158398447553E-2</v>
      </c>
      <c r="T166" s="1"/>
    </row>
    <row r="167" spans="2:20" ht="13" thickBot="1" x14ac:dyDescent="0.3">
      <c r="B167" s="30" t="s">
        <v>343</v>
      </c>
      <c r="C167" s="31" t="s">
        <v>189</v>
      </c>
      <c r="D167" s="31" t="s">
        <v>604</v>
      </c>
      <c r="E167" s="31" t="s">
        <v>202</v>
      </c>
      <c r="F167" s="31" t="s">
        <v>24</v>
      </c>
      <c r="G167" s="31" t="s">
        <v>181</v>
      </c>
      <c r="H167" s="32">
        <v>39645</v>
      </c>
      <c r="I167" s="33">
        <v>43.575402645544614</v>
      </c>
      <c r="J167" s="34">
        <v>39647</v>
      </c>
      <c r="K167" s="35">
        <v>29608</v>
      </c>
      <c r="L167" s="35">
        <v>32392</v>
      </c>
      <c r="M167" s="36">
        <v>19434193128.68</v>
      </c>
      <c r="N167" s="36">
        <v>0</v>
      </c>
      <c r="O167" s="37">
        <v>19434193128.68</v>
      </c>
      <c r="P167" s="38">
        <v>4.5506017462490819E-2</v>
      </c>
      <c r="Q167" s="38">
        <v>0.14192265358138625</v>
      </c>
      <c r="R167" s="38">
        <v>0.39360010380860933</v>
      </c>
      <c r="S167" s="39">
        <v>0.41897122514751362</v>
      </c>
      <c r="T167" s="1"/>
    </row>
    <row r="168" spans="2:20" ht="13" thickTop="1" x14ac:dyDescent="0.25">
      <c r="B168" s="40" t="s">
        <v>302</v>
      </c>
      <c r="C168" s="41" t="s">
        <v>179</v>
      </c>
      <c r="D168" s="41" t="s">
        <v>621</v>
      </c>
      <c r="E168" s="41" t="s">
        <v>339</v>
      </c>
      <c r="F168" s="41" t="s">
        <v>24</v>
      </c>
      <c r="G168" s="41" t="s">
        <v>181</v>
      </c>
      <c r="H168" s="42">
        <v>39896</v>
      </c>
      <c r="I168" s="43">
        <v>24.5</v>
      </c>
      <c r="J168" s="44">
        <v>39898</v>
      </c>
      <c r="K168" s="45">
        <v>2604</v>
      </c>
      <c r="L168" s="45">
        <v>3435</v>
      </c>
      <c r="M168" s="46">
        <v>0</v>
      </c>
      <c r="N168" s="46">
        <v>2212895370</v>
      </c>
      <c r="O168" s="47">
        <v>2212895370</v>
      </c>
      <c r="P168" s="48">
        <v>4.2549046049113477E-2</v>
      </c>
      <c r="Q168" s="48">
        <v>8.1236895533836284E-2</v>
      </c>
      <c r="R168" s="48">
        <v>0.87399881269578505</v>
      </c>
      <c r="S168" s="49">
        <v>2.2152457212651676E-3</v>
      </c>
      <c r="T168" s="1"/>
    </row>
    <row r="169" spans="2:20" ht="12.5" x14ac:dyDescent="0.25">
      <c r="B169" s="18" t="s">
        <v>307</v>
      </c>
      <c r="C169" s="19" t="s">
        <v>179</v>
      </c>
      <c r="D169" s="19" t="s">
        <v>596</v>
      </c>
      <c r="E169" s="19" t="s">
        <v>180</v>
      </c>
      <c r="F169" s="19" t="s">
        <v>24</v>
      </c>
      <c r="G169" s="19" t="s">
        <v>181</v>
      </c>
      <c r="H169" s="20">
        <v>39987</v>
      </c>
      <c r="I169" s="21">
        <v>24.5</v>
      </c>
      <c r="J169" s="22">
        <v>39989</v>
      </c>
      <c r="K169" s="23">
        <v>1310</v>
      </c>
      <c r="L169" s="23">
        <v>1880</v>
      </c>
      <c r="M169" s="24">
        <v>595350000</v>
      </c>
      <c r="N169" s="24">
        <v>126787500</v>
      </c>
      <c r="O169" s="25">
        <v>722137500</v>
      </c>
      <c r="P169" s="26">
        <v>6.569669211195929E-2</v>
      </c>
      <c r="Q169" s="26">
        <v>0.2333591518235793</v>
      </c>
      <c r="R169" s="26">
        <v>0.70026388464800682</v>
      </c>
      <c r="S169" s="27">
        <v>6.8027141645462261E-4</v>
      </c>
      <c r="T169" s="1"/>
    </row>
    <row r="170" spans="2:20" ht="12.5" x14ac:dyDescent="0.25">
      <c r="B170" s="18" t="s">
        <v>344</v>
      </c>
      <c r="C170" s="19" t="s">
        <v>179</v>
      </c>
      <c r="D170" s="19" t="s">
        <v>621</v>
      </c>
      <c r="E170" s="19" t="s">
        <v>190</v>
      </c>
      <c r="F170" s="19" t="s">
        <v>23</v>
      </c>
      <c r="G170" s="19" t="s">
        <v>181</v>
      </c>
      <c r="H170" s="20">
        <v>39989</v>
      </c>
      <c r="I170" s="21">
        <v>15</v>
      </c>
      <c r="J170" s="22">
        <v>39993</v>
      </c>
      <c r="K170" s="23">
        <v>49037</v>
      </c>
      <c r="L170" s="23">
        <v>52943</v>
      </c>
      <c r="M170" s="24">
        <v>0</v>
      </c>
      <c r="N170" s="24">
        <v>8397208920</v>
      </c>
      <c r="O170" s="25">
        <v>8397208920</v>
      </c>
      <c r="P170" s="26">
        <v>8.0373646937916127E-2</v>
      </c>
      <c r="Q170" s="26">
        <v>0.14649857193263688</v>
      </c>
      <c r="R170" s="26">
        <v>0.56537766241500154</v>
      </c>
      <c r="S170" s="27">
        <v>0.20775011871444543</v>
      </c>
      <c r="T170" s="1"/>
    </row>
    <row r="171" spans="2:20" ht="12.5" x14ac:dyDescent="0.25">
      <c r="B171" s="18" t="s">
        <v>278</v>
      </c>
      <c r="C171" s="19" t="s">
        <v>179</v>
      </c>
      <c r="D171" s="19" t="s">
        <v>603</v>
      </c>
      <c r="E171" s="19" t="s">
        <v>204</v>
      </c>
      <c r="F171" s="19" t="s">
        <v>24</v>
      </c>
      <c r="G171" s="19" t="s">
        <v>181</v>
      </c>
      <c r="H171" s="20">
        <v>39995</v>
      </c>
      <c r="I171" s="21">
        <v>15</v>
      </c>
      <c r="J171" s="22">
        <v>39997</v>
      </c>
      <c r="K171" s="23">
        <v>2716</v>
      </c>
      <c r="L171" s="23">
        <v>3397</v>
      </c>
      <c r="M171" s="24">
        <v>454270140</v>
      </c>
      <c r="N171" s="24">
        <v>381586905</v>
      </c>
      <c r="O171" s="25">
        <v>835857045</v>
      </c>
      <c r="P171" s="26">
        <v>8.4659440777938286E-2</v>
      </c>
      <c r="Q171" s="26">
        <v>0.12190266339144154</v>
      </c>
      <c r="R171" s="26">
        <v>0.78959991298512056</v>
      </c>
      <c r="S171" s="27">
        <v>3.8379828454996154E-3</v>
      </c>
      <c r="T171" s="1"/>
    </row>
    <row r="172" spans="2:20" ht="12.5" x14ac:dyDescent="0.25">
      <c r="B172" s="18" t="s">
        <v>345</v>
      </c>
      <c r="C172" s="19" t="s">
        <v>179</v>
      </c>
      <c r="D172" s="19" t="s">
        <v>584</v>
      </c>
      <c r="E172" s="19" t="s">
        <v>204</v>
      </c>
      <c r="F172" s="19" t="s">
        <v>24</v>
      </c>
      <c r="G172" s="19" t="s">
        <v>181</v>
      </c>
      <c r="H172" s="20">
        <v>40007</v>
      </c>
      <c r="I172" s="21">
        <v>24</v>
      </c>
      <c r="J172" s="22">
        <v>40009</v>
      </c>
      <c r="K172" s="23">
        <v>4294</v>
      </c>
      <c r="L172" s="23">
        <v>4871</v>
      </c>
      <c r="M172" s="24">
        <v>0</v>
      </c>
      <c r="N172" s="24">
        <v>772091520</v>
      </c>
      <c r="O172" s="25">
        <v>772091520</v>
      </c>
      <c r="P172" s="26">
        <v>0.18109801283661295</v>
      </c>
      <c r="Q172" s="26">
        <v>0.34028286180374057</v>
      </c>
      <c r="R172" s="26">
        <v>0.47355159139683339</v>
      </c>
      <c r="S172" s="27">
        <v>5.067533962813113E-3</v>
      </c>
      <c r="T172" s="1"/>
    </row>
    <row r="173" spans="2:20" ht="12.5" x14ac:dyDescent="0.25">
      <c r="B173" s="18" t="s">
        <v>340</v>
      </c>
      <c r="C173" s="19" t="s">
        <v>179</v>
      </c>
      <c r="D173" s="19" t="s">
        <v>593</v>
      </c>
      <c r="E173" s="19" t="s">
        <v>339</v>
      </c>
      <c r="F173" s="19" t="s">
        <v>24</v>
      </c>
      <c r="G173" s="19" t="s">
        <v>181</v>
      </c>
      <c r="H173" s="20">
        <v>40008</v>
      </c>
      <c r="I173" s="21">
        <v>23</v>
      </c>
      <c r="J173" s="22">
        <v>40010</v>
      </c>
      <c r="K173" s="23">
        <v>3899</v>
      </c>
      <c r="L173" s="23">
        <v>4442</v>
      </c>
      <c r="M173" s="24">
        <v>563500000</v>
      </c>
      <c r="N173" s="24">
        <v>230000000</v>
      </c>
      <c r="O173" s="25">
        <v>793500000</v>
      </c>
      <c r="P173" s="26">
        <v>9.0727797101449278E-2</v>
      </c>
      <c r="Q173" s="26">
        <v>0.10778799999999999</v>
      </c>
      <c r="R173" s="26">
        <v>0.79804681159420288</v>
      </c>
      <c r="S173" s="27">
        <v>3.4373913043478262E-3</v>
      </c>
      <c r="T173" s="1"/>
    </row>
    <row r="174" spans="2:20" ht="12.5" x14ac:dyDescent="0.25">
      <c r="B174" s="18" t="s">
        <v>346</v>
      </c>
      <c r="C174" s="19" t="s">
        <v>179</v>
      </c>
      <c r="D174" s="19" t="s">
        <v>606</v>
      </c>
      <c r="E174" s="19" t="s">
        <v>180</v>
      </c>
      <c r="F174" s="19" t="s">
        <v>24</v>
      </c>
      <c r="G174" s="19" t="s">
        <v>181</v>
      </c>
      <c r="H174" s="20">
        <v>40015</v>
      </c>
      <c r="I174" s="21">
        <v>40</v>
      </c>
      <c r="J174" s="22">
        <v>40017</v>
      </c>
      <c r="K174" s="23">
        <v>13211</v>
      </c>
      <c r="L174" s="23">
        <v>14783</v>
      </c>
      <c r="M174" s="24">
        <v>5290000000</v>
      </c>
      <c r="N174" s="24">
        <v>0</v>
      </c>
      <c r="O174" s="25">
        <v>5290000000</v>
      </c>
      <c r="P174" s="26">
        <v>5.7905534971644614E-2</v>
      </c>
      <c r="Q174" s="26">
        <v>0.21595600756143668</v>
      </c>
      <c r="R174" s="26">
        <v>0.31776966351606806</v>
      </c>
      <c r="S174" s="27">
        <v>0.40836879395085068</v>
      </c>
      <c r="T174" s="1"/>
    </row>
    <row r="175" spans="2:20" ht="12.5" x14ac:dyDescent="0.25">
      <c r="B175" s="18" t="s">
        <v>182</v>
      </c>
      <c r="C175" s="19" t="s">
        <v>179</v>
      </c>
      <c r="D175" s="19" t="s">
        <v>628</v>
      </c>
      <c r="E175" s="19" t="s">
        <v>204</v>
      </c>
      <c r="F175" s="19" t="s">
        <v>24</v>
      </c>
      <c r="G175" s="19" t="s">
        <v>181</v>
      </c>
      <c r="H175" s="20">
        <v>40024</v>
      </c>
      <c r="I175" s="21">
        <v>26.5</v>
      </c>
      <c r="J175" s="22">
        <v>40028</v>
      </c>
      <c r="K175" s="23">
        <v>6237</v>
      </c>
      <c r="L175" s="23">
        <v>6944</v>
      </c>
      <c r="M175" s="24">
        <v>0</v>
      </c>
      <c r="N175" s="24">
        <v>1505104891.5</v>
      </c>
      <c r="O175" s="25">
        <v>1505104891.5</v>
      </c>
      <c r="P175" s="26">
        <v>9.3128859849964815E-2</v>
      </c>
      <c r="Q175" s="26">
        <v>0.26150164664453884</v>
      </c>
      <c r="R175" s="26">
        <v>0.58644247785304604</v>
      </c>
      <c r="S175" s="27">
        <v>5.8927015652450294E-2</v>
      </c>
      <c r="T175" s="1"/>
    </row>
    <row r="176" spans="2:20" ht="12.5" x14ac:dyDescent="0.25">
      <c r="B176" s="18" t="s">
        <v>347</v>
      </c>
      <c r="C176" s="19" t="s">
        <v>179</v>
      </c>
      <c r="D176" s="19" t="s">
        <v>597</v>
      </c>
      <c r="E176" s="19" t="s">
        <v>202</v>
      </c>
      <c r="F176" s="19" t="s">
        <v>23</v>
      </c>
      <c r="G176" s="19" t="s">
        <v>181</v>
      </c>
      <c r="H176" s="20">
        <v>40080</v>
      </c>
      <c r="I176" s="21">
        <v>15</v>
      </c>
      <c r="J176" s="22">
        <v>40084</v>
      </c>
      <c r="K176" s="23">
        <v>5774</v>
      </c>
      <c r="L176" s="23">
        <v>6191</v>
      </c>
      <c r="M176" s="24">
        <v>0</v>
      </c>
      <c r="N176" s="24">
        <v>574566690</v>
      </c>
      <c r="O176" s="25">
        <v>574566690</v>
      </c>
      <c r="P176" s="26">
        <v>8.8666426092174289E-2</v>
      </c>
      <c r="Q176" s="26">
        <v>5.7413247893671644E-2</v>
      </c>
      <c r="R176" s="26">
        <v>0.85200069411855295</v>
      </c>
      <c r="S176" s="27">
        <v>1.9196318956010826E-3</v>
      </c>
      <c r="T176" s="1"/>
    </row>
    <row r="177" spans="2:20" ht="12.5" x14ac:dyDescent="0.25">
      <c r="B177" s="18" t="s">
        <v>314</v>
      </c>
      <c r="C177" s="19" t="s">
        <v>184</v>
      </c>
      <c r="D177" s="19" t="s">
        <v>603</v>
      </c>
      <c r="E177" s="19" t="s">
        <v>348</v>
      </c>
      <c r="F177" s="19" t="s">
        <v>24</v>
      </c>
      <c r="G177" s="19" t="s">
        <v>181</v>
      </c>
      <c r="H177" s="20">
        <v>40080</v>
      </c>
      <c r="I177" s="21">
        <v>26.5</v>
      </c>
      <c r="J177" s="22">
        <v>40084</v>
      </c>
      <c r="K177" s="23">
        <v>5318</v>
      </c>
      <c r="L177" s="23">
        <v>6050</v>
      </c>
      <c r="M177" s="24">
        <v>792350000</v>
      </c>
      <c r="N177" s="24">
        <v>0</v>
      </c>
      <c r="O177" s="25">
        <v>792350000</v>
      </c>
      <c r="P177" s="26">
        <v>8.1040769230769236E-2</v>
      </c>
      <c r="Q177" s="26">
        <v>0.14349234113712375</v>
      </c>
      <c r="R177" s="26">
        <v>0.73854304347826083</v>
      </c>
      <c r="S177" s="27">
        <v>3.6923846153846154E-2</v>
      </c>
      <c r="T177" s="1"/>
    </row>
    <row r="178" spans="2:20" ht="12.5" x14ac:dyDescent="0.25">
      <c r="B178" s="18" t="s">
        <v>226</v>
      </c>
      <c r="C178" s="19" t="s">
        <v>179</v>
      </c>
      <c r="D178" s="19" t="s">
        <v>596</v>
      </c>
      <c r="E178" s="19" t="s">
        <v>202</v>
      </c>
      <c r="F178" s="19" t="s">
        <v>24</v>
      </c>
      <c r="G178" s="19" t="s">
        <v>181</v>
      </c>
      <c r="H178" s="20">
        <v>40087</v>
      </c>
      <c r="I178" s="21">
        <v>12.5</v>
      </c>
      <c r="J178" s="22">
        <v>40091</v>
      </c>
      <c r="K178" s="23">
        <v>4342</v>
      </c>
      <c r="L178" s="23">
        <v>4825</v>
      </c>
      <c r="M178" s="24">
        <v>928125000</v>
      </c>
      <c r="N178" s="24">
        <v>0</v>
      </c>
      <c r="O178" s="25">
        <v>928125000</v>
      </c>
      <c r="P178" s="26">
        <v>7.7342949494949492E-2</v>
      </c>
      <c r="Q178" s="26">
        <v>0.19340188552188553</v>
      </c>
      <c r="R178" s="26">
        <v>0.72537593265993261</v>
      </c>
      <c r="S178" s="27">
        <v>3.8792323232323231E-3</v>
      </c>
      <c r="T178" s="1"/>
    </row>
    <row r="179" spans="2:20" ht="12.5" x14ac:dyDescent="0.25">
      <c r="B179" s="18" t="s">
        <v>264</v>
      </c>
      <c r="C179" s="19" t="s">
        <v>179</v>
      </c>
      <c r="D179" s="19" t="s">
        <v>596</v>
      </c>
      <c r="E179" s="19" t="s">
        <v>348</v>
      </c>
      <c r="F179" s="19" t="s">
        <v>24</v>
      </c>
      <c r="G179" s="19" t="s">
        <v>181</v>
      </c>
      <c r="H179" s="20">
        <v>40087</v>
      </c>
      <c r="I179" s="21">
        <v>14</v>
      </c>
      <c r="J179" s="22">
        <v>40091</v>
      </c>
      <c r="K179" s="23">
        <v>2521</v>
      </c>
      <c r="L179" s="23">
        <v>3287</v>
      </c>
      <c r="M179" s="24">
        <v>784000000</v>
      </c>
      <c r="N179" s="24">
        <v>274400000</v>
      </c>
      <c r="O179" s="25">
        <v>1058400000</v>
      </c>
      <c r="P179" s="26">
        <v>7.6583769841269841E-2</v>
      </c>
      <c r="Q179" s="26">
        <v>0.18932887566137566</v>
      </c>
      <c r="R179" s="26">
        <v>0.73094513227513225</v>
      </c>
      <c r="S179" s="27">
        <v>3.142222222222222E-3</v>
      </c>
      <c r="T179" s="1"/>
    </row>
    <row r="180" spans="2:20" ht="12.5" x14ac:dyDescent="0.25">
      <c r="B180" s="18" t="s">
        <v>349</v>
      </c>
      <c r="C180" s="19" t="s">
        <v>184</v>
      </c>
      <c r="D180" s="19" t="s">
        <v>591</v>
      </c>
      <c r="E180" s="19" t="s">
        <v>211</v>
      </c>
      <c r="F180" s="19" t="s">
        <v>23</v>
      </c>
      <c r="G180" s="19" t="s">
        <v>181</v>
      </c>
      <c r="H180" s="20">
        <v>40092</v>
      </c>
      <c r="I180" s="21">
        <v>23.5</v>
      </c>
      <c r="J180" s="22">
        <v>40093</v>
      </c>
      <c r="K180" s="23">
        <v>74132</v>
      </c>
      <c r="L180" s="23">
        <v>101673</v>
      </c>
      <c r="M180" s="24">
        <v>13182457728</v>
      </c>
      <c r="N180" s="24">
        <v>0</v>
      </c>
      <c r="O180" s="25">
        <v>13182457728</v>
      </c>
      <c r="P180" s="26">
        <v>8.2591282070867938E-2</v>
      </c>
      <c r="Q180" s="26">
        <v>0.10176439014619766</v>
      </c>
      <c r="R180" s="26">
        <v>0.80160575274900281</v>
      </c>
      <c r="S180" s="27">
        <v>1.4038575033931572E-2</v>
      </c>
      <c r="T180" s="1"/>
    </row>
    <row r="181" spans="2:20" ht="12.5" x14ac:dyDescent="0.25">
      <c r="B181" s="18" t="s">
        <v>350</v>
      </c>
      <c r="C181" s="19" t="s">
        <v>184</v>
      </c>
      <c r="D181" s="19" t="s">
        <v>580</v>
      </c>
      <c r="E181" s="19" t="s">
        <v>204</v>
      </c>
      <c r="F181" s="19" t="s">
        <v>24</v>
      </c>
      <c r="G181" s="19" t="s">
        <v>181</v>
      </c>
      <c r="H181" s="20">
        <v>40094</v>
      </c>
      <c r="I181" s="21">
        <v>16.5</v>
      </c>
      <c r="J181" s="22">
        <v>40099</v>
      </c>
      <c r="K181" s="23">
        <v>3588</v>
      </c>
      <c r="L181" s="23">
        <v>3986</v>
      </c>
      <c r="M181" s="24">
        <v>627082500</v>
      </c>
      <c r="N181" s="24">
        <v>399052500</v>
      </c>
      <c r="O181" s="25">
        <v>1026135000</v>
      </c>
      <c r="P181" s="26">
        <v>4.6804614889853671E-2</v>
      </c>
      <c r="Q181" s="26">
        <v>0.4490476443158064</v>
      </c>
      <c r="R181" s="26">
        <v>0.48562198102588838</v>
      </c>
      <c r="S181" s="27">
        <v>1.852575976845152E-2</v>
      </c>
      <c r="T181" s="1"/>
    </row>
    <row r="182" spans="2:20" ht="12.5" x14ac:dyDescent="0.25">
      <c r="B182" s="18" t="s">
        <v>351</v>
      </c>
      <c r="C182" s="19" t="s">
        <v>179</v>
      </c>
      <c r="D182" s="19" t="s">
        <v>596</v>
      </c>
      <c r="E182" s="19" t="s">
        <v>204</v>
      </c>
      <c r="F182" s="19" t="s">
        <v>24</v>
      </c>
      <c r="G182" s="19" t="s">
        <v>181</v>
      </c>
      <c r="H182" s="20">
        <v>40106</v>
      </c>
      <c r="I182" s="21">
        <v>6.8</v>
      </c>
      <c r="J182" s="22">
        <v>40108</v>
      </c>
      <c r="K182" s="23">
        <v>5833</v>
      </c>
      <c r="L182" s="23">
        <v>6519</v>
      </c>
      <c r="M182" s="24">
        <v>562700000</v>
      </c>
      <c r="N182" s="24">
        <v>102000000</v>
      </c>
      <c r="O182" s="25">
        <v>664700000</v>
      </c>
      <c r="P182" s="26">
        <v>9.4576460358056252E-2</v>
      </c>
      <c r="Q182" s="26">
        <v>0.42314158567774934</v>
      </c>
      <c r="R182" s="26">
        <v>0.43230368286445015</v>
      </c>
      <c r="S182" s="27">
        <v>4.9978271099744245E-2</v>
      </c>
      <c r="T182" s="1"/>
    </row>
    <row r="183" spans="2:20" ht="12.5" x14ac:dyDescent="0.25">
      <c r="B183" s="18" t="s">
        <v>178</v>
      </c>
      <c r="C183" s="19" t="s">
        <v>179</v>
      </c>
      <c r="D183" s="19" t="s">
        <v>578</v>
      </c>
      <c r="E183" s="19" t="s">
        <v>204</v>
      </c>
      <c r="F183" s="19" t="s">
        <v>24</v>
      </c>
      <c r="G183" s="19" t="s">
        <v>181</v>
      </c>
      <c r="H183" s="20">
        <v>40107</v>
      </c>
      <c r="I183" s="21">
        <v>33</v>
      </c>
      <c r="J183" s="22">
        <v>40109</v>
      </c>
      <c r="K183" s="23">
        <v>4930</v>
      </c>
      <c r="L183" s="23">
        <v>5612</v>
      </c>
      <c r="M183" s="24">
        <v>1263735000</v>
      </c>
      <c r="N183" s="24">
        <v>0</v>
      </c>
      <c r="O183" s="25">
        <v>1263735000</v>
      </c>
      <c r="P183" s="26">
        <v>8.9528998563781173E-2</v>
      </c>
      <c r="Q183" s="26">
        <v>0.21670056143099622</v>
      </c>
      <c r="R183" s="26">
        <v>0.68990964877921401</v>
      </c>
      <c r="S183" s="27">
        <v>3.8607912260086173E-3</v>
      </c>
      <c r="T183" s="1"/>
    </row>
    <row r="184" spans="2:20" ht="12.5" x14ac:dyDescent="0.25">
      <c r="B184" s="18" t="s">
        <v>269</v>
      </c>
      <c r="C184" s="19" t="s">
        <v>179</v>
      </c>
      <c r="D184" s="19" t="s">
        <v>603</v>
      </c>
      <c r="E184" s="19" t="s">
        <v>204</v>
      </c>
      <c r="F184" s="19" t="s">
        <v>24</v>
      </c>
      <c r="G184" s="19" t="s">
        <v>181</v>
      </c>
      <c r="H184" s="20">
        <v>40108</v>
      </c>
      <c r="I184" s="21">
        <v>28.5</v>
      </c>
      <c r="J184" s="22">
        <v>40112</v>
      </c>
      <c r="K184" s="23">
        <v>3563</v>
      </c>
      <c r="L184" s="23">
        <v>3847</v>
      </c>
      <c r="M184" s="24">
        <v>410400000</v>
      </c>
      <c r="N184" s="24">
        <v>0</v>
      </c>
      <c r="O184" s="25">
        <v>410400000</v>
      </c>
      <c r="P184" s="26">
        <v>8.8686061381074169E-2</v>
      </c>
      <c r="Q184" s="26">
        <v>0.32909897698209717</v>
      </c>
      <c r="R184" s="26">
        <v>0.57758900255754475</v>
      </c>
      <c r="S184" s="27">
        <v>4.6259590792838874E-3</v>
      </c>
      <c r="T184" s="1"/>
    </row>
    <row r="185" spans="2:20" ht="12.5" x14ac:dyDescent="0.25">
      <c r="B185" s="18" t="s">
        <v>352</v>
      </c>
      <c r="C185" s="19" t="s">
        <v>179</v>
      </c>
      <c r="D185" s="19" t="s">
        <v>621</v>
      </c>
      <c r="E185" s="19" t="s">
        <v>204</v>
      </c>
      <c r="F185" s="19" t="s">
        <v>23</v>
      </c>
      <c r="G185" s="19" t="s">
        <v>181</v>
      </c>
      <c r="H185" s="20">
        <v>40112</v>
      </c>
      <c r="I185" s="21">
        <v>13</v>
      </c>
      <c r="J185" s="22">
        <v>40114</v>
      </c>
      <c r="K185" s="23">
        <v>5058</v>
      </c>
      <c r="L185" s="23">
        <v>5437</v>
      </c>
      <c r="M185" s="24">
        <v>0</v>
      </c>
      <c r="N185" s="24">
        <v>772991934</v>
      </c>
      <c r="O185" s="25">
        <v>772991934</v>
      </c>
      <c r="P185" s="26">
        <v>9.8154683964816275E-2</v>
      </c>
      <c r="Q185" s="26">
        <v>5.2802500182675204E-2</v>
      </c>
      <c r="R185" s="26">
        <v>0.84489174491856878</v>
      </c>
      <c r="S185" s="27">
        <v>4.1510709339397786E-3</v>
      </c>
      <c r="T185" s="1"/>
    </row>
    <row r="186" spans="2:20" ht="12.5" x14ac:dyDescent="0.25">
      <c r="B186" s="18" t="s">
        <v>218</v>
      </c>
      <c r="C186" s="19" t="s">
        <v>179</v>
      </c>
      <c r="D186" s="19" t="s">
        <v>596</v>
      </c>
      <c r="E186" s="19" t="s">
        <v>202</v>
      </c>
      <c r="F186" s="19" t="s">
        <v>24</v>
      </c>
      <c r="G186" s="19" t="s">
        <v>181</v>
      </c>
      <c r="H186" s="20">
        <v>40113</v>
      </c>
      <c r="I186" s="21">
        <v>22</v>
      </c>
      <c r="J186" s="22">
        <v>40115</v>
      </c>
      <c r="K186" s="23">
        <v>5170</v>
      </c>
      <c r="L186" s="23">
        <v>5766</v>
      </c>
      <c r="M186" s="24">
        <v>1182500000</v>
      </c>
      <c r="N186" s="24">
        <v>0</v>
      </c>
      <c r="O186" s="25">
        <v>1182500000</v>
      </c>
      <c r="P186" s="26">
        <v>7.9324986046511628E-2</v>
      </c>
      <c r="Q186" s="26">
        <v>2.4330139534883721E-2</v>
      </c>
      <c r="R186" s="26">
        <v>0.72471419534883719</v>
      </c>
      <c r="S186" s="27">
        <v>0.17163067906976745</v>
      </c>
      <c r="T186" s="1"/>
    </row>
    <row r="187" spans="2:20" ht="12.5" x14ac:dyDescent="0.25">
      <c r="B187" s="18" t="s">
        <v>298</v>
      </c>
      <c r="C187" s="19" t="s">
        <v>179</v>
      </c>
      <c r="D187" s="19" t="s">
        <v>606</v>
      </c>
      <c r="E187" s="19" t="s">
        <v>190</v>
      </c>
      <c r="F187" s="19" t="s">
        <v>24</v>
      </c>
      <c r="G187" s="19" t="s">
        <v>181</v>
      </c>
      <c r="H187" s="20">
        <v>40128</v>
      </c>
      <c r="I187" s="21">
        <v>19</v>
      </c>
      <c r="J187" s="22">
        <v>40129</v>
      </c>
      <c r="K187" s="23">
        <v>5</v>
      </c>
      <c r="L187" s="23">
        <v>2644</v>
      </c>
      <c r="M187" s="24">
        <v>1501760000</v>
      </c>
      <c r="N187" s="24">
        <v>0</v>
      </c>
      <c r="O187" s="25">
        <v>1501760000</v>
      </c>
      <c r="P187" s="26">
        <v>1.4612790991902835E-2</v>
      </c>
      <c r="Q187" s="26">
        <v>0.26609741902834005</v>
      </c>
      <c r="R187" s="26">
        <v>0.4783132464574899</v>
      </c>
      <c r="S187" s="27">
        <v>0.24097654352226722</v>
      </c>
      <c r="T187" s="1"/>
    </row>
    <row r="188" spans="2:20" ht="12.5" x14ac:dyDescent="0.25">
      <c r="B188" s="18" t="s">
        <v>353</v>
      </c>
      <c r="C188" s="19" t="s">
        <v>179</v>
      </c>
      <c r="D188" s="19" t="s">
        <v>596</v>
      </c>
      <c r="E188" s="19" t="s">
        <v>211</v>
      </c>
      <c r="F188" s="19" t="s">
        <v>23</v>
      </c>
      <c r="G188" s="19" t="s">
        <v>181</v>
      </c>
      <c r="H188" s="20">
        <v>40134</v>
      </c>
      <c r="I188" s="21">
        <v>10.5</v>
      </c>
      <c r="J188" s="22">
        <v>40136</v>
      </c>
      <c r="K188" s="23">
        <v>588</v>
      </c>
      <c r="L188" s="23">
        <v>661</v>
      </c>
      <c r="M188" s="24">
        <v>273999999</v>
      </c>
      <c r="N188" s="24">
        <v>0</v>
      </c>
      <c r="O188" s="25">
        <v>273999999</v>
      </c>
      <c r="P188" s="26">
        <v>7.4642009396503686E-2</v>
      </c>
      <c r="Q188" s="26">
        <v>7.1940903547229582E-2</v>
      </c>
      <c r="R188" s="26">
        <v>0.64310699139820071</v>
      </c>
      <c r="S188" s="27">
        <v>0.21031009565806605</v>
      </c>
      <c r="T188" s="1"/>
    </row>
    <row r="189" spans="2:20" ht="12.5" x14ac:dyDescent="0.25">
      <c r="B189" s="18" t="s">
        <v>216</v>
      </c>
      <c r="C189" s="19" t="s">
        <v>179</v>
      </c>
      <c r="D189" s="19" t="s">
        <v>584</v>
      </c>
      <c r="E189" s="19" t="s">
        <v>190</v>
      </c>
      <c r="F189" s="19" t="s">
        <v>24</v>
      </c>
      <c r="G189" s="19" t="s">
        <v>181</v>
      </c>
      <c r="H189" s="20">
        <v>40141</v>
      </c>
      <c r="I189" s="21">
        <v>28.5</v>
      </c>
      <c r="J189" s="22">
        <v>40143</v>
      </c>
      <c r="K189" s="23">
        <v>1109</v>
      </c>
      <c r="L189" s="23">
        <v>1551</v>
      </c>
      <c r="M189" s="24">
        <v>0</v>
      </c>
      <c r="N189" s="24">
        <v>441750000</v>
      </c>
      <c r="O189" s="25">
        <v>441750000</v>
      </c>
      <c r="P189" s="26">
        <v>9.2037225806451614E-2</v>
      </c>
      <c r="Q189" s="26">
        <v>0.32481458064516128</v>
      </c>
      <c r="R189" s="26">
        <v>0.58067290322580645</v>
      </c>
      <c r="S189" s="27">
        <v>2.4752903225806451E-3</v>
      </c>
      <c r="T189" s="1"/>
    </row>
    <row r="190" spans="2:20" ht="12.5" x14ac:dyDescent="0.25">
      <c r="B190" s="18" t="s">
        <v>274</v>
      </c>
      <c r="C190" s="19" t="s">
        <v>184</v>
      </c>
      <c r="D190" s="19" t="s">
        <v>614</v>
      </c>
      <c r="E190" s="19" t="s">
        <v>204</v>
      </c>
      <c r="F190" s="19" t="s">
        <v>24</v>
      </c>
      <c r="G190" s="19" t="s">
        <v>181</v>
      </c>
      <c r="H190" s="20">
        <v>40155</v>
      </c>
      <c r="I190" s="21">
        <v>22.5</v>
      </c>
      <c r="J190" s="22">
        <v>40157</v>
      </c>
      <c r="K190" s="23">
        <v>1487</v>
      </c>
      <c r="L190" s="23">
        <v>1924</v>
      </c>
      <c r="M190" s="24">
        <v>0</v>
      </c>
      <c r="N190" s="24">
        <v>750375000</v>
      </c>
      <c r="O190" s="25">
        <v>750375000</v>
      </c>
      <c r="P190" s="26">
        <v>8.5570854572713642E-2</v>
      </c>
      <c r="Q190" s="26">
        <v>0.12138284857571215</v>
      </c>
      <c r="R190" s="26">
        <v>0.79038140929535228</v>
      </c>
      <c r="S190" s="27">
        <v>2.6648875562218892E-3</v>
      </c>
      <c r="T190" s="1"/>
    </row>
    <row r="191" spans="2:20" ht="13" thickBot="1" x14ac:dyDescent="0.3">
      <c r="B191" s="30" t="s">
        <v>354</v>
      </c>
      <c r="C191" s="31" t="s">
        <v>179</v>
      </c>
      <c r="D191" s="31" t="s">
        <v>587</v>
      </c>
      <c r="E191" s="31" t="s">
        <v>190</v>
      </c>
      <c r="F191" s="31" t="s">
        <v>23</v>
      </c>
      <c r="G191" s="31" t="s">
        <v>181</v>
      </c>
      <c r="H191" s="32">
        <v>40162</v>
      </c>
      <c r="I191" s="33">
        <v>16</v>
      </c>
      <c r="J191" s="34">
        <v>40164</v>
      </c>
      <c r="K191" s="35">
        <v>4631</v>
      </c>
      <c r="L191" s="35">
        <v>5176</v>
      </c>
      <c r="M191" s="36">
        <v>630233120</v>
      </c>
      <c r="N191" s="36">
        <v>0</v>
      </c>
      <c r="O191" s="37">
        <v>630233120</v>
      </c>
      <c r="P191" s="38">
        <v>8.7598442938067109E-2</v>
      </c>
      <c r="Q191" s="38">
        <v>0.15645067971039034</v>
      </c>
      <c r="R191" s="38">
        <v>0.75337131123797496</v>
      </c>
      <c r="S191" s="39">
        <v>2.5795661135676272E-3</v>
      </c>
      <c r="T191" s="1"/>
    </row>
    <row r="192" spans="2:20" ht="13" thickTop="1" x14ac:dyDescent="0.25">
      <c r="B192" s="40" t="s">
        <v>355</v>
      </c>
      <c r="C192" s="41" t="s">
        <v>179</v>
      </c>
      <c r="D192" s="41" t="s">
        <v>629</v>
      </c>
      <c r="E192" s="41" t="s">
        <v>348</v>
      </c>
      <c r="F192" s="41" t="s">
        <v>23</v>
      </c>
      <c r="G192" s="41" t="s">
        <v>181</v>
      </c>
      <c r="H192" s="42">
        <v>40205</v>
      </c>
      <c r="I192" s="43">
        <v>9</v>
      </c>
      <c r="J192" s="44">
        <v>40207</v>
      </c>
      <c r="K192" s="45">
        <v>1626</v>
      </c>
      <c r="L192" s="45">
        <v>1892</v>
      </c>
      <c r="M192" s="46">
        <v>450000000</v>
      </c>
      <c r="N192" s="46">
        <v>193500000</v>
      </c>
      <c r="O192" s="47">
        <v>643500000</v>
      </c>
      <c r="P192" s="48">
        <v>6.665237762237762E-2</v>
      </c>
      <c r="Q192" s="48">
        <v>0.20004700699300698</v>
      </c>
      <c r="R192" s="48">
        <v>0.73164967832167838</v>
      </c>
      <c r="S192" s="49">
        <v>1.650937062937063E-3</v>
      </c>
      <c r="T192" s="1"/>
    </row>
    <row r="193" spans="2:20" ht="12.5" x14ac:dyDescent="0.25">
      <c r="B193" s="18" t="s">
        <v>291</v>
      </c>
      <c r="C193" s="19" t="s">
        <v>179</v>
      </c>
      <c r="D193" s="19" t="s">
        <v>630</v>
      </c>
      <c r="E193" s="19" t="s">
        <v>202</v>
      </c>
      <c r="F193" s="19" t="s">
        <v>24</v>
      </c>
      <c r="G193" s="19" t="s">
        <v>181</v>
      </c>
      <c r="H193" s="20">
        <v>40211</v>
      </c>
      <c r="I193" s="21">
        <v>3.2</v>
      </c>
      <c r="J193" s="22">
        <v>40213</v>
      </c>
      <c r="K193" s="23">
        <v>1423</v>
      </c>
      <c r="L193" s="23">
        <v>1612</v>
      </c>
      <c r="M193" s="24">
        <v>280000000</v>
      </c>
      <c r="N193" s="24">
        <v>0</v>
      </c>
      <c r="O193" s="25">
        <v>280000000</v>
      </c>
      <c r="P193" s="26">
        <v>6.8151439999999994E-2</v>
      </c>
      <c r="Q193" s="26">
        <v>0.24533228571428572</v>
      </c>
      <c r="R193" s="26">
        <v>0.68484573714285712</v>
      </c>
      <c r="S193" s="27">
        <v>1.6705371428571429E-3</v>
      </c>
      <c r="T193" s="1"/>
    </row>
    <row r="194" spans="2:20" ht="12.5" x14ac:dyDescent="0.25">
      <c r="B194" s="18" t="s">
        <v>356</v>
      </c>
      <c r="C194" s="19" t="s">
        <v>179</v>
      </c>
      <c r="D194" s="19" t="s">
        <v>631</v>
      </c>
      <c r="E194" s="19" t="s">
        <v>348</v>
      </c>
      <c r="F194" s="19" t="s">
        <v>23</v>
      </c>
      <c r="G194" s="19" t="s">
        <v>181</v>
      </c>
      <c r="H194" s="20">
        <v>40212</v>
      </c>
      <c r="I194" s="21">
        <v>16</v>
      </c>
      <c r="J194" s="22">
        <v>40214</v>
      </c>
      <c r="K194" s="23">
        <v>1167</v>
      </c>
      <c r="L194" s="23">
        <v>1388</v>
      </c>
      <c r="M194" s="24">
        <v>692384000</v>
      </c>
      <c r="N194" s="24">
        <v>0</v>
      </c>
      <c r="O194" s="25">
        <v>692384000</v>
      </c>
      <c r="P194" s="26">
        <v>4.1318204926745851E-2</v>
      </c>
      <c r="Q194" s="26">
        <v>2.7142626057216806E-3</v>
      </c>
      <c r="R194" s="26">
        <v>0.82120152978693906</v>
      </c>
      <c r="S194" s="27">
        <v>0.13476600268059344</v>
      </c>
      <c r="T194" s="1"/>
    </row>
    <row r="195" spans="2:20" ht="12.5" x14ac:dyDescent="0.25">
      <c r="B195" s="18" t="s">
        <v>264</v>
      </c>
      <c r="C195" s="19" t="s">
        <v>179</v>
      </c>
      <c r="D195" s="19" t="s">
        <v>596</v>
      </c>
      <c r="E195" s="19" t="s">
        <v>202</v>
      </c>
      <c r="F195" s="19" t="s">
        <v>24</v>
      </c>
      <c r="G195" s="19" t="s">
        <v>181</v>
      </c>
      <c r="H195" s="20">
        <v>40213</v>
      </c>
      <c r="I195" s="21">
        <v>14.5</v>
      </c>
      <c r="J195" s="22">
        <v>40217</v>
      </c>
      <c r="K195" s="23">
        <v>2802</v>
      </c>
      <c r="L195" s="23">
        <v>3491</v>
      </c>
      <c r="M195" s="24">
        <v>0</v>
      </c>
      <c r="N195" s="24">
        <v>1618891461.5</v>
      </c>
      <c r="O195" s="25">
        <v>1618891461.5</v>
      </c>
      <c r="P195" s="26">
        <v>9.7183052256156463E-2</v>
      </c>
      <c r="Q195" s="26">
        <v>0.43246845767615411</v>
      </c>
      <c r="R195" s="26">
        <v>0.46770936687653908</v>
      </c>
      <c r="S195" s="27">
        <v>2.6391231911503908E-3</v>
      </c>
      <c r="T195" s="1"/>
    </row>
    <row r="196" spans="2:20" ht="12.5" x14ac:dyDescent="0.25">
      <c r="B196" s="18" t="s">
        <v>357</v>
      </c>
      <c r="C196" s="19" t="s">
        <v>179</v>
      </c>
      <c r="D196" s="19" t="s">
        <v>603</v>
      </c>
      <c r="E196" s="19" t="s">
        <v>204</v>
      </c>
      <c r="F196" s="19" t="s">
        <v>23</v>
      </c>
      <c r="G196" s="19" t="s">
        <v>181</v>
      </c>
      <c r="H196" s="20">
        <v>40241</v>
      </c>
      <c r="I196" s="21">
        <v>13</v>
      </c>
      <c r="J196" s="22">
        <v>40245</v>
      </c>
      <c r="K196" s="23">
        <v>1451</v>
      </c>
      <c r="L196" s="23">
        <v>1831</v>
      </c>
      <c r="M196" s="24">
        <v>747500000</v>
      </c>
      <c r="N196" s="24">
        <v>186888000</v>
      </c>
      <c r="O196" s="25">
        <v>934388000</v>
      </c>
      <c r="P196" s="26">
        <v>4.2736845238634497E-2</v>
      </c>
      <c r="Q196" s="26">
        <v>0.28556674479432925</v>
      </c>
      <c r="R196" s="26">
        <v>0.6514811684723173</v>
      </c>
      <c r="S196" s="27">
        <v>2.0215241494718941E-2</v>
      </c>
      <c r="T196" s="1"/>
    </row>
    <row r="197" spans="2:20" ht="12.5" x14ac:dyDescent="0.25">
      <c r="B197" s="18" t="s">
        <v>358</v>
      </c>
      <c r="C197" s="19" t="s">
        <v>179</v>
      </c>
      <c r="D197" s="19" t="s">
        <v>632</v>
      </c>
      <c r="E197" s="19" t="s">
        <v>202</v>
      </c>
      <c r="F197" s="19" t="s">
        <v>23</v>
      </c>
      <c r="G197" s="19" t="s">
        <v>181</v>
      </c>
      <c r="H197" s="20">
        <v>40255</v>
      </c>
      <c r="I197" s="21">
        <v>800</v>
      </c>
      <c r="J197" s="22">
        <v>40259</v>
      </c>
      <c r="K197" s="23">
        <v>30</v>
      </c>
      <c r="L197" s="23">
        <v>184</v>
      </c>
      <c r="M197" s="24">
        <v>2450400000</v>
      </c>
      <c r="N197" s="24">
        <v>0</v>
      </c>
      <c r="O197" s="25">
        <v>2450400000</v>
      </c>
      <c r="P197" s="26">
        <v>1.1753183153770812E-2</v>
      </c>
      <c r="Q197" s="26">
        <v>1.8137943760734715E-2</v>
      </c>
      <c r="R197" s="26">
        <v>0.69346903433689622</v>
      </c>
      <c r="S197" s="27">
        <v>0.27663983874859827</v>
      </c>
      <c r="T197" s="1"/>
    </row>
    <row r="198" spans="2:20" ht="12.5" x14ac:dyDescent="0.25">
      <c r="B198" s="18" t="s">
        <v>359</v>
      </c>
      <c r="C198" s="19" t="s">
        <v>179</v>
      </c>
      <c r="D198" s="19" t="s">
        <v>596</v>
      </c>
      <c r="E198" s="19" t="s">
        <v>204</v>
      </c>
      <c r="F198" s="19" t="s">
        <v>24</v>
      </c>
      <c r="G198" s="19" t="s">
        <v>181</v>
      </c>
      <c r="H198" s="20">
        <v>40260</v>
      </c>
      <c r="I198" s="21">
        <v>12.5</v>
      </c>
      <c r="J198" s="22">
        <v>40262</v>
      </c>
      <c r="K198" s="23">
        <v>2488</v>
      </c>
      <c r="L198" s="23">
        <v>2910</v>
      </c>
      <c r="M198" s="24">
        <v>1063750000</v>
      </c>
      <c r="N198" s="24">
        <v>0</v>
      </c>
      <c r="O198" s="25">
        <v>1063750000</v>
      </c>
      <c r="P198" s="26">
        <v>6.2444923619271446E-2</v>
      </c>
      <c r="Q198" s="26">
        <v>0.31804683901292596</v>
      </c>
      <c r="R198" s="26">
        <v>0.61794923619271447</v>
      </c>
      <c r="S198" s="27">
        <v>1.5590011750881317E-3</v>
      </c>
      <c r="T198" s="1"/>
    </row>
    <row r="199" spans="2:20" ht="12.5" x14ac:dyDescent="0.25">
      <c r="B199" s="18" t="s">
        <v>360</v>
      </c>
      <c r="C199" s="19" t="s">
        <v>179</v>
      </c>
      <c r="D199" s="19" t="s">
        <v>578</v>
      </c>
      <c r="E199" s="19" t="s">
        <v>204</v>
      </c>
      <c r="F199" s="19" t="s">
        <v>23</v>
      </c>
      <c r="G199" s="19" t="s">
        <v>181</v>
      </c>
      <c r="H199" s="20">
        <v>40267</v>
      </c>
      <c r="I199" s="21">
        <v>9.5</v>
      </c>
      <c r="J199" s="22">
        <v>40269</v>
      </c>
      <c r="K199" s="23">
        <v>1982</v>
      </c>
      <c r="L199" s="23">
        <v>2647</v>
      </c>
      <c r="M199" s="24">
        <v>874000000</v>
      </c>
      <c r="N199" s="24">
        <v>494028500</v>
      </c>
      <c r="O199" s="25">
        <v>1368028500</v>
      </c>
      <c r="P199" s="26">
        <v>4.7046790691860588E-2</v>
      </c>
      <c r="Q199" s="26">
        <v>0.29249494107761642</v>
      </c>
      <c r="R199" s="26">
        <v>0.51137191586286401</v>
      </c>
      <c r="S199" s="27">
        <v>0.14908635236765902</v>
      </c>
      <c r="T199" s="1"/>
    </row>
    <row r="200" spans="2:20" ht="12.5" x14ac:dyDescent="0.25">
      <c r="B200" s="18" t="s">
        <v>340</v>
      </c>
      <c r="C200" s="19" t="s">
        <v>179</v>
      </c>
      <c r="D200" s="19" t="s">
        <v>593</v>
      </c>
      <c r="E200" s="19" t="s">
        <v>339</v>
      </c>
      <c r="F200" s="19" t="s">
        <v>24</v>
      </c>
      <c r="G200" s="19" t="s">
        <v>181</v>
      </c>
      <c r="H200" s="20">
        <v>40268</v>
      </c>
      <c r="I200" s="21">
        <v>21</v>
      </c>
      <c r="J200" s="22">
        <v>40273</v>
      </c>
      <c r="K200" s="23">
        <v>2697</v>
      </c>
      <c r="L200" s="23">
        <v>3616</v>
      </c>
      <c r="M200" s="24">
        <v>1232616000</v>
      </c>
      <c r="N200" s="24">
        <v>0</v>
      </c>
      <c r="O200" s="25">
        <v>1232616000</v>
      </c>
      <c r="P200" s="26">
        <v>7.7514992503748131E-2</v>
      </c>
      <c r="Q200" s="26">
        <v>0.20446035504974786</v>
      </c>
      <c r="R200" s="26">
        <v>0.71584234019353954</v>
      </c>
      <c r="S200" s="27">
        <v>2.1823122529644268E-3</v>
      </c>
      <c r="T200" s="1"/>
    </row>
    <row r="201" spans="2:20" ht="12.5" x14ac:dyDescent="0.25">
      <c r="B201" s="18" t="s">
        <v>361</v>
      </c>
      <c r="C201" s="19" t="s">
        <v>179</v>
      </c>
      <c r="D201" s="19" t="s">
        <v>602</v>
      </c>
      <c r="E201" s="19" t="s">
        <v>204</v>
      </c>
      <c r="F201" s="19" t="s">
        <v>23</v>
      </c>
      <c r="G201" s="19" t="s">
        <v>181</v>
      </c>
      <c r="H201" s="20">
        <v>40282</v>
      </c>
      <c r="I201" s="21">
        <v>11.5</v>
      </c>
      <c r="J201" s="22">
        <v>40284</v>
      </c>
      <c r="K201" s="23">
        <v>1086</v>
      </c>
      <c r="L201" s="23">
        <v>1358</v>
      </c>
      <c r="M201" s="24">
        <v>425925925.5</v>
      </c>
      <c r="N201" s="24">
        <v>259814808</v>
      </c>
      <c r="O201" s="25">
        <v>685740733.5</v>
      </c>
      <c r="P201" s="26">
        <v>3.2080729531287204E-2</v>
      </c>
      <c r="Q201" s="26">
        <v>0.15486718859176535</v>
      </c>
      <c r="R201" s="26">
        <v>0.77255307089031189</v>
      </c>
      <c r="S201" s="27">
        <v>4.0499010986635518E-2</v>
      </c>
      <c r="T201" s="1"/>
    </row>
    <row r="202" spans="2:20" ht="12.5" x14ac:dyDescent="0.25">
      <c r="B202" s="18" t="s">
        <v>277</v>
      </c>
      <c r="C202" s="19" t="s">
        <v>179</v>
      </c>
      <c r="D202" s="19" t="s">
        <v>596</v>
      </c>
      <c r="E202" s="19" t="s">
        <v>204</v>
      </c>
      <c r="F202" s="19" t="s">
        <v>24</v>
      </c>
      <c r="G202" s="19" t="s">
        <v>181</v>
      </c>
      <c r="H202" s="20">
        <v>40283</v>
      </c>
      <c r="I202" s="21">
        <v>6</v>
      </c>
      <c r="J202" s="22">
        <v>40287</v>
      </c>
      <c r="K202" s="23">
        <v>2156</v>
      </c>
      <c r="L202" s="23">
        <v>2515</v>
      </c>
      <c r="M202" s="24">
        <v>326000004</v>
      </c>
      <c r="N202" s="24">
        <v>180000000</v>
      </c>
      <c r="O202" s="25">
        <v>506000004</v>
      </c>
      <c r="P202" s="26">
        <v>9.9583350991435962E-2</v>
      </c>
      <c r="Q202" s="26">
        <v>0.33255331752922279</v>
      </c>
      <c r="R202" s="26">
        <v>0.46544233624156256</v>
      </c>
      <c r="S202" s="27">
        <v>0.1024209952377787</v>
      </c>
      <c r="T202" s="1"/>
    </row>
    <row r="203" spans="2:20" ht="12.5" x14ac:dyDescent="0.25">
      <c r="B203" s="18" t="s">
        <v>362</v>
      </c>
      <c r="C203" s="19" t="s">
        <v>179</v>
      </c>
      <c r="D203" s="19" t="s">
        <v>620</v>
      </c>
      <c r="E203" s="19" t="s">
        <v>190</v>
      </c>
      <c r="F203" s="19" t="s">
        <v>23</v>
      </c>
      <c r="G203" s="19" t="s">
        <v>181</v>
      </c>
      <c r="H203" s="20">
        <v>40287</v>
      </c>
      <c r="I203" s="21">
        <v>8</v>
      </c>
      <c r="J203" s="22">
        <v>40290</v>
      </c>
      <c r="K203" s="23">
        <v>726</v>
      </c>
      <c r="L203" s="23">
        <v>989</v>
      </c>
      <c r="M203" s="24">
        <v>477902824</v>
      </c>
      <c r="N203" s="24">
        <v>0</v>
      </c>
      <c r="O203" s="25">
        <v>477902824</v>
      </c>
      <c r="P203" s="26">
        <v>3.2331535244154344E-2</v>
      </c>
      <c r="Q203" s="26">
        <v>0.15242885372498341</v>
      </c>
      <c r="R203" s="26">
        <v>0.64773563340949902</v>
      </c>
      <c r="S203" s="27">
        <v>0.16750397762136326</v>
      </c>
      <c r="T203" s="1"/>
    </row>
    <row r="204" spans="2:20" ht="12.5" x14ac:dyDescent="0.25">
      <c r="B204" s="18" t="s">
        <v>275</v>
      </c>
      <c r="C204" s="19" t="s">
        <v>179</v>
      </c>
      <c r="D204" s="19" t="s">
        <v>606</v>
      </c>
      <c r="E204" s="19" t="s">
        <v>348</v>
      </c>
      <c r="F204" s="19" t="s">
        <v>24</v>
      </c>
      <c r="G204" s="19" t="s">
        <v>181</v>
      </c>
      <c r="H204" s="20">
        <v>40295</v>
      </c>
      <c r="I204" s="21">
        <v>8</v>
      </c>
      <c r="J204" s="22">
        <v>40297</v>
      </c>
      <c r="K204" s="23">
        <v>3378</v>
      </c>
      <c r="L204" s="23">
        <v>4070</v>
      </c>
      <c r="M204" s="24">
        <v>1600000000</v>
      </c>
      <c r="N204" s="24">
        <v>0</v>
      </c>
      <c r="O204" s="25">
        <v>1600000000</v>
      </c>
      <c r="P204" s="26">
        <v>8.9639201493206824E-2</v>
      </c>
      <c r="Q204" s="26">
        <v>0.56390888024805086</v>
      </c>
      <c r="R204" s="26">
        <v>0.33928502001080957</v>
      </c>
      <c r="S204" s="27">
        <v>7.166898247932727E-3</v>
      </c>
      <c r="T204" s="1"/>
    </row>
    <row r="205" spans="2:20" ht="12.5" x14ac:dyDescent="0.25">
      <c r="B205" s="18" t="s">
        <v>242</v>
      </c>
      <c r="C205" s="19" t="s">
        <v>179</v>
      </c>
      <c r="D205" s="19" t="s">
        <v>591</v>
      </c>
      <c r="E205" s="19" t="s">
        <v>243</v>
      </c>
      <c r="F205" s="19" t="s">
        <v>24</v>
      </c>
      <c r="G205" s="19" t="s">
        <v>181</v>
      </c>
      <c r="H205" s="20">
        <v>40359</v>
      </c>
      <c r="I205" s="21">
        <v>24.65</v>
      </c>
      <c r="J205" s="22">
        <v>40361</v>
      </c>
      <c r="K205" s="23">
        <v>103471</v>
      </c>
      <c r="L205" s="23">
        <v>113502</v>
      </c>
      <c r="M205" s="24">
        <v>7049900000</v>
      </c>
      <c r="N205" s="24">
        <v>2711500000</v>
      </c>
      <c r="O205" s="25">
        <v>9761400000</v>
      </c>
      <c r="P205" s="26">
        <v>0.15932670707070706</v>
      </c>
      <c r="Q205" s="26">
        <v>0.43090268686868688</v>
      </c>
      <c r="R205" s="26">
        <v>0.3896108611111111</v>
      </c>
      <c r="S205" s="27">
        <v>2.0159744949494948E-2</v>
      </c>
      <c r="T205" s="1"/>
    </row>
    <row r="206" spans="2:20" ht="12.5" x14ac:dyDescent="0.25">
      <c r="B206" s="18" t="s">
        <v>363</v>
      </c>
      <c r="C206" s="19" t="s">
        <v>184</v>
      </c>
      <c r="D206" s="19" t="s">
        <v>584</v>
      </c>
      <c r="E206" s="19" t="s">
        <v>211</v>
      </c>
      <c r="F206" s="19" t="s">
        <v>23</v>
      </c>
      <c r="G206" s="19" t="s">
        <v>181</v>
      </c>
      <c r="H206" s="20">
        <v>40367</v>
      </c>
      <c r="I206" s="21">
        <v>15</v>
      </c>
      <c r="J206" s="22">
        <v>40372</v>
      </c>
      <c r="K206" s="23">
        <v>579</v>
      </c>
      <c r="L206" s="23">
        <v>619</v>
      </c>
      <c r="M206" s="24">
        <v>160707000</v>
      </c>
      <c r="N206" s="24">
        <v>0</v>
      </c>
      <c r="O206" s="25">
        <v>160707000</v>
      </c>
      <c r="P206" s="26">
        <v>9.0320508230167268E-2</v>
      </c>
      <c r="Q206" s="26">
        <v>0</v>
      </c>
      <c r="R206" s="26">
        <v>1.6353938396981748E-2</v>
      </c>
      <c r="S206" s="27">
        <v>0.89332555337285102</v>
      </c>
      <c r="T206" s="1"/>
    </row>
    <row r="207" spans="2:20" ht="12.5" x14ac:dyDescent="0.25">
      <c r="B207" s="18" t="s">
        <v>364</v>
      </c>
      <c r="C207" s="19" t="s">
        <v>210</v>
      </c>
      <c r="D207" s="19" t="s">
        <v>633</v>
      </c>
      <c r="E207" s="19" t="s">
        <v>190</v>
      </c>
      <c r="F207" s="19" t="s">
        <v>24</v>
      </c>
      <c r="G207" s="19" t="s">
        <v>181</v>
      </c>
      <c r="H207" s="20">
        <v>40444</v>
      </c>
      <c r="I207" s="21">
        <v>28.158484041426377</v>
      </c>
      <c r="J207" s="22">
        <v>40448</v>
      </c>
      <c r="K207" s="23">
        <v>104109</v>
      </c>
      <c r="L207" s="23">
        <v>112827</v>
      </c>
      <c r="M207" s="24">
        <v>120248558770.3</v>
      </c>
      <c r="N207" s="24">
        <v>0</v>
      </c>
      <c r="O207" s="25">
        <v>120248558770.3</v>
      </c>
      <c r="P207" s="26">
        <v>3.2863317602476953E-2</v>
      </c>
      <c r="Q207" s="26">
        <v>0.10250494062037488</v>
      </c>
      <c r="R207" s="26">
        <v>0.20213876330516317</v>
      </c>
      <c r="S207" s="27">
        <v>0.66249297847198485</v>
      </c>
      <c r="T207" s="1"/>
    </row>
    <row r="208" spans="2:20" ht="12.5" x14ac:dyDescent="0.25">
      <c r="B208" s="18" t="s">
        <v>316</v>
      </c>
      <c r="C208" s="19" t="s">
        <v>179</v>
      </c>
      <c r="D208" s="19" t="s">
        <v>614</v>
      </c>
      <c r="E208" s="19" t="s">
        <v>348</v>
      </c>
      <c r="F208" s="19" t="s">
        <v>24</v>
      </c>
      <c r="G208" s="19" t="s">
        <v>181</v>
      </c>
      <c r="H208" s="20">
        <v>40451</v>
      </c>
      <c r="I208" s="21">
        <v>19</v>
      </c>
      <c r="J208" s="22">
        <v>40455</v>
      </c>
      <c r="K208" s="23">
        <v>1173</v>
      </c>
      <c r="L208" s="23">
        <v>1701</v>
      </c>
      <c r="M208" s="24">
        <v>62326156</v>
      </c>
      <c r="N208" s="24">
        <v>623261560</v>
      </c>
      <c r="O208" s="25">
        <v>685587716</v>
      </c>
      <c r="P208" s="26">
        <v>8.9730049947394336E-2</v>
      </c>
      <c r="Q208" s="26">
        <v>0.20560347087665731</v>
      </c>
      <c r="R208" s="26">
        <v>0.70320609128300071</v>
      </c>
      <c r="S208" s="27">
        <v>1.4603878929476035E-3</v>
      </c>
      <c r="T208" s="1"/>
    </row>
    <row r="209" spans="2:20" ht="12.5" x14ac:dyDescent="0.25">
      <c r="B209" s="18" t="s">
        <v>365</v>
      </c>
      <c r="C209" s="19" t="s">
        <v>179</v>
      </c>
      <c r="D209" s="19" t="s">
        <v>633</v>
      </c>
      <c r="E209" s="19" t="s">
        <v>202</v>
      </c>
      <c r="F209" s="19" t="s">
        <v>23</v>
      </c>
      <c r="G209" s="19" t="s">
        <v>181</v>
      </c>
      <c r="H209" s="20">
        <v>40472</v>
      </c>
      <c r="I209" s="21">
        <v>1200</v>
      </c>
      <c r="J209" s="22">
        <v>40476</v>
      </c>
      <c r="K209" s="23">
        <v>127</v>
      </c>
      <c r="L209" s="23">
        <v>646</v>
      </c>
      <c r="M209" s="24">
        <v>2474746800</v>
      </c>
      <c r="N209" s="24">
        <v>6253200</v>
      </c>
      <c r="O209" s="25">
        <v>2481000000</v>
      </c>
      <c r="P209" s="26">
        <v>2.0300411522633746E-2</v>
      </c>
      <c r="Q209" s="26">
        <v>0.12973159579332419</v>
      </c>
      <c r="R209" s="26">
        <v>0.84932784636488345</v>
      </c>
      <c r="S209" s="27">
        <v>6.4014631915866485E-4</v>
      </c>
      <c r="T209" s="1"/>
    </row>
    <row r="210" spans="2:20" ht="12.5" x14ac:dyDescent="0.25">
      <c r="B210" s="18" t="s">
        <v>262</v>
      </c>
      <c r="C210" s="19" t="s">
        <v>179</v>
      </c>
      <c r="D210" s="19" t="s">
        <v>610</v>
      </c>
      <c r="E210" s="19" t="s">
        <v>204</v>
      </c>
      <c r="F210" s="19" t="s">
        <v>24</v>
      </c>
      <c r="G210" s="19" t="s">
        <v>181</v>
      </c>
      <c r="H210" s="20">
        <v>40472</v>
      </c>
      <c r="I210" s="21">
        <v>37.51</v>
      </c>
      <c r="J210" s="22">
        <v>40476</v>
      </c>
      <c r="K210" s="23">
        <v>2035</v>
      </c>
      <c r="L210" s="23">
        <v>2215</v>
      </c>
      <c r="M210" s="24">
        <v>207055200</v>
      </c>
      <c r="N210" s="24">
        <v>0</v>
      </c>
      <c r="O210" s="25">
        <v>207055200</v>
      </c>
      <c r="P210" s="26">
        <v>8.5058695652173902E-2</v>
      </c>
      <c r="Q210" s="26">
        <v>0.26343079710144923</v>
      </c>
      <c r="R210" s="26">
        <v>0.64918115942028976</v>
      </c>
      <c r="S210" s="27">
        <v>2.3293478260869565E-3</v>
      </c>
      <c r="T210" s="1"/>
    </row>
    <row r="211" spans="2:20" ht="12.5" x14ac:dyDescent="0.25">
      <c r="B211" s="18" t="s">
        <v>366</v>
      </c>
      <c r="C211" s="19" t="s">
        <v>179</v>
      </c>
      <c r="D211" s="19" t="s">
        <v>634</v>
      </c>
      <c r="E211" s="19" t="s">
        <v>185</v>
      </c>
      <c r="F211" s="19" t="s">
        <v>23</v>
      </c>
      <c r="G211" s="19" t="s">
        <v>181</v>
      </c>
      <c r="H211" s="20">
        <v>40479</v>
      </c>
      <c r="I211" s="21">
        <v>1350</v>
      </c>
      <c r="J211" s="22">
        <v>40483</v>
      </c>
      <c r="K211" s="23">
        <v>70</v>
      </c>
      <c r="L211" s="23">
        <v>472</v>
      </c>
      <c r="M211" s="24">
        <v>348097500</v>
      </c>
      <c r="N211" s="24">
        <v>296527500</v>
      </c>
      <c r="O211" s="25">
        <v>644625000</v>
      </c>
      <c r="P211" s="26">
        <v>4.862198952879581E-2</v>
      </c>
      <c r="Q211" s="26">
        <v>0.15247748691099478</v>
      </c>
      <c r="R211" s="26">
        <v>0.79890052356020946</v>
      </c>
      <c r="S211" s="27">
        <v>0</v>
      </c>
      <c r="T211" s="1"/>
    </row>
    <row r="212" spans="2:20" ht="12.5" x14ac:dyDescent="0.25">
      <c r="B212" s="18" t="s">
        <v>274</v>
      </c>
      <c r="C212" s="19" t="s">
        <v>179</v>
      </c>
      <c r="D212" s="19" t="s">
        <v>614</v>
      </c>
      <c r="E212" s="19" t="s">
        <v>204</v>
      </c>
      <c r="F212" s="19" t="s">
        <v>24</v>
      </c>
      <c r="G212" s="19" t="s">
        <v>181</v>
      </c>
      <c r="H212" s="20">
        <v>40521</v>
      </c>
      <c r="I212" s="21">
        <v>36.700000000000003</v>
      </c>
      <c r="J212" s="22">
        <v>40525</v>
      </c>
      <c r="K212" s="23">
        <v>2124</v>
      </c>
      <c r="L212" s="23">
        <v>2484</v>
      </c>
      <c r="M212" s="24">
        <v>844100000</v>
      </c>
      <c r="N212" s="24">
        <v>0</v>
      </c>
      <c r="O212" s="25">
        <v>844100000</v>
      </c>
      <c r="P212" s="26">
        <v>8.5455130434782603E-2</v>
      </c>
      <c r="Q212" s="26">
        <v>0.16158069565217387</v>
      </c>
      <c r="R212" s="26">
        <v>0.75078617391304348</v>
      </c>
      <c r="S212" s="27">
        <v>2.1779999999999998E-3</v>
      </c>
      <c r="T212" s="1"/>
    </row>
    <row r="213" spans="2:20" ht="13" thickBot="1" x14ac:dyDescent="0.3">
      <c r="B213" s="30" t="s">
        <v>367</v>
      </c>
      <c r="C213" s="31" t="s">
        <v>179</v>
      </c>
      <c r="D213" s="31" t="s">
        <v>607</v>
      </c>
      <c r="E213" s="31" t="s">
        <v>204</v>
      </c>
      <c r="F213" s="31" t="s">
        <v>23</v>
      </c>
      <c r="G213" s="31" t="s">
        <v>181</v>
      </c>
      <c r="H213" s="32">
        <v>40528</v>
      </c>
      <c r="I213" s="33">
        <v>24</v>
      </c>
      <c r="J213" s="34">
        <v>40532</v>
      </c>
      <c r="K213" s="35">
        <v>6672</v>
      </c>
      <c r="L213" s="35">
        <v>7477</v>
      </c>
      <c r="M213" s="36">
        <v>525655800</v>
      </c>
      <c r="N213" s="36">
        <v>129041880</v>
      </c>
      <c r="O213" s="37">
        <v>654697680</v>
      </c>
      <c r="P213" s="38">
        <v>8.561534539117352E-2</v>
      </c>
      <c r="Q213" s="38">
        <v>0.26465674966192027</v>
      </c>
      <c r="R213" s="38">
        <v>0.6480352519349083</v>
      </c>
      <c r="S213" s="39">
        <v>1.6926530119978429E-3</v>
      </c>
      <c r="T213" s="1"/>
    </row>
    <row r="214" spans="2:20" ht="13" thickTop="1" x14ac:dyDescent="0.25">
      <c r="B214" s="40" t="s">
        <v>368</v>
      </c>
      <c r="C214" s="41" t="s">
        <v>179</v>
      </c>
      <c r="D214" s="41" t="s">
        <v>595</v>
      </c>
      <c r="E214" s="41" t="s">
        <v>204</v>
      </c>
      <c r="F214" s="41" t="s">
        <v>23</v>
      </c>
      <c r="G214" s="41" t="s">
        <v>181</v>
      </c>
      <c r="H214" s="42">
        <v>40574</v>
      </c>
      <c r="I214" s="43">
        <v>19</v>
      </c>
      <c r="J214" s="44">
        <v>40576</v>
      </c>
      <c r="K214" s="45">
        <v>8992</v>
      </c>
      <c r="L214" s="45">
        <v>9799</v>
      </c>
      <c r="M214" s="46">
        <v>195588242</v>
      </c>
      <c r="N214" s="46">
        <v>370220605</v>
      </c>
      <c r="O214" s="47">
        <v>565808847</v>
      </c>
      <c r="P214" s="48">
        <v>7.5768283276772444E-2</v>
      </c>
      <c r="Q214" s="48">
        <v>0.22417204798496196</v>
      </c>
      <c r="R214" s="48">
        <v>0.69878059718638508</v>
      </c>
      <c r="S214" s="49">
        <v>1.2790715518804887E-3</v>
      </c>
      <c r="T214" s="1"/>
    </row>
    <row r="215" spans="2:20" ht="12.5" x14ac:dyDescent="0.25">
      <c r="B215" s="18" t="s">
        <v>369</v>
      </c>
      <c r="C215" s="19" t="s">
        <v>179</v>
      </c>
      <c r="D215" s="19" t="s">
        <v>629</v>
      </c>
      <c r="E215" s="19" t="s">
        <v>202</v>
      </c>
      <c r="F215" s="19" t="s">
        <v>23</v>
      </c>
      <c r="G215" s="19" t="s">
        <v>181</v>
      </c>
      <c r="H215" s="20">
        <v>40575</v>
      </c>
      <c r="I215" s="21">
        <v>20</v>
      </c>
      <c r="J215" s="22">
        <v>40577</v>
      </c>
      <c r="K215" s="23">
        <v>3389</v>
      </c>
      <c r="L215" s="23">
        <v>3739</v>
      </c>
      <c r="M215" s="24">
        <v>465020860</v>
      </c>
      <c r="N215" s="24">
        <v>0</v>
      </c>
      <c r="O215" s="25">
        <v>465020860</v>
      </c>
      <c r="P215" s="26">
        <v>8.8000427214554006E-2</v>
      </c>
      <c r="Q215" s="26">
        <v>0.35426214890342478</v>
      </c>
      <c r="R215" s="26">
        <v>0.55478970200488498</v>
      </c>
      <c r="S215" s="27">
        <v>2.9477218771362559E-3</v>
      </c>
      <c r="T215" s="1"/>
    </row>
    <row r="216" spans="2:20" ht="12.5" x14ac:dyDescent="0.25">
      <c r="B216" s="18" t="s">
        <v>370</v>
      </c>
      <c r="C216" s="19" t="s">
        <v>179</v>
      </c>
      <c r="D216" s="19" t="s">
        <v>596</v>
      </c>
      <c r="E216" s="19" t="s">
        <v>204</v>
      </c>
      <c r="F216" s="19" t="s">
        <v>24</v>
      </c>
      <c r="G216" s="19" t="s">
        <v>181</v>
      </c>
      <c r="H216" s="20">
        <v>40575</v>
      </c>
      <c r="I216" s="21">
        <v>10</v>
      </c>
      <c r="J216" s="22">
        <v>40577</v>
      </c>
      <c r="K216" s="23">
        <v>2391</v>
      </c>
      <c r="L216" s="23">
        <v>2665</v>
      </c>
      <c r="M216" s="24">
        <v>398305000</v>
      </c>
      <c r="N216" s="24">
        <v>0</v>
      </c>
      <c r="O216" s="25">
        <v>398305000</v>
      </c>
      <c r="P216" s="26">
        <v>8.9707391304347822E-2</v>
      </c>
      <c r="Q216" s="26">
        <v>0.39460777777777778</v>
      </c>
      <c r="R216" s="26">
        <v>0.5134309178743961</v>
      </c>
      <c r="S216" s="27">
        <v>2.2539130434782607E-3</v>
      </c>
      <c r="T216" s="1"/>
    </row>
    <row r="217" spans="2:20" ht="12.5" x14ac:dyDescent="0.25">
      <c r="B217" s="18" t="s">
        <v>371</v>
      </c>
      <c r="C217" s="19" t="s">
        <v>179</v>
      </c>
      <c r="D217" s="19" t="s">
        <v>598</v>
      </c>
      <c r="E217" s="19" t="s">
        <v>211</v>
      </c>
      <c r="F217" s="19" t="s">
        <v>23</v>
      </c>
      <c r="G217" s="19" t="s">
        <v>181</v>
      </c>
      <c r="H217" s="20">
        <v>40577</v>
      </c>
      <c r="I217" s="21">
        <v>14</v>
      </c>
      <c r="J217" s="22">
        <v>40581</v>
      </c>
      <c r="K217" s="23">
        <v>3545</v>
      </c>
      <c r="L217" s="23">
        <v>3837</v>
      </c>
      <c r="M217" s="24">
        <v>440752200</v>
      </c>
      <c r="N217" s="24">
        <v>13559420</v>
      </c>
      <c r="O217" s="25">
        <v>454311620</v>
      </c>
      <c r="P217" s="26">
        <v>8.6564052008444567E-2</v>
      </c>
      <c r="Q217" s="26">
        <v>0.13552680250634339</v>
      </c>
      <c r="R217" s="26">
        <v>0.63921363606043569</v>
      </c>
      <c r="S217" s="27">
        <v>0.13869550942477635</v>
      </c>
      <c r="T217" s="1"/>
    </row>
    <row r="218" spans="2:20" ht="12.5" x14ac:dyDescent="0.25">
      <c r="B218" s="18" t="s">
        <v>372</v>
      </c>
      <c r="C218" s="19" t="s">
        <v>179</v>
      </c>
      <c r="D218" s="19" t="s">
        <v>635</v>
      </c>
      <c r="E218" s="19" t="s">
        <v>202</v>
      </c>
      <c r="F218" s="19" t="s">
        <v>24</v>
      </c>
      <c r="G218" s="19" t="s">
        <v>181</v>
      </c>
      <c r="H218" s="20">
        <v>40577</v>
      </c>
      <c r="I218" s="21">
        <v>7.9</v>
      </c>
      <c r="J218" s="22">
        <v>40581</v>
      </c>
      <c r="K218" s="23">
        <v>2729</v>
      </c>
      <c r="L218" s="23">
        <v>2874</v>
      </c>
      <c r="M218" s="24">
        <v>189303552.5</v>
      </c>
      <c r="N218" s="24">
        <v>0</v>
      </c>
      <c r="O218" s="25">
        <v>189303552.5</v>
      </c>
      <c r="P218" s="26">
        <v>8.6013693015649026E-2</v>
      </c>
      <c r="Q218" s="26">
        <v>9.8390440492742148E-2</v>
      </c>
      <c r="R218" s="26">
        <v>0.81355158003586503</v>
      </c>
      <c r="S218" s="27">
        <v>2.0442864557438122E-3</v>
      </c>
      <c r="T218" s="1"/>
    </row>
    <row r="219" spans="2:20" ht="12.5" x14ac:dyDescent="0.25">
      <c r="B219" s="18" t="s">
        <v>373</v>
      </c>
      <c r="C219" s="19" t="s">
        <v>179</v>
      </c>
      <c r="D219" s="19" t="s">
        <v>633</v>
      </c>
      <c r="E219" s="19" t="s">
        <v>204</v>
      </c>
      <c r="F219" s="19" t="s">
        <v>23</v>
      </c>
      <c r="G219" s="19" t="s">
        <v>181</v>
      </c>
      <c r="H219" s="20">
        <v>40581</v>
      </c>
      <c r="I219" s="21">
        <v>19</v>
      </c>
      <c r="J219" s="22">
        <v>40583</v>
      </c>
      <c r="K219" s="23">
        <v>8896</v>
      </c>
      <c r="L219" s="23">
        <v>9722</v>
      </c>
      <c r="M219" s="24">
        <v>1515079361</v>
      </c>
      <c r="N219" s="24">
        <v>0</v>
      </c>
      <c r="O219" s="25">
        <v>1515079361</v>
      </c>
      <c r="P219" s="26">
        <v>0.12466858493493795</v>
      </c>
      <c r="Q219" s="26">
        <v>0.14722146954254497</v>
      </c>
      <c r="R219" s="26">
        <v>0.72067911497343673</v>
      </c>
      <c r="S219" s="27">
        <v>7.4308305490803925E-3</v>
      </c>
      <c r="T219" s="1"/>
    </row>
    <row r="220" spans="2:20" ht="12.5" x14ac:dyDescent="0.25">
      <c r="B220" s="18" t="s">
        <v>353</v>
      </c>
      <c r="C220" s="19" t="s">
        <v>179</v>
      </c>
      <c r="D220" s="19" t="s">
        <v>630</v>
      </c>
      <c r="E220" s="19" t="s">
        <v>204</v>
      </c>
      <c r="F220" s="19" t="s">
        <v>24</v>
      </c>
      <c r="G220" s="19" t="s">
        <v>181</v>
      </c>
      <c r="H220" s="20">
        <v>40583</v>
      </c>
      <c r="I220" s="21">
        <v>11</v>
      </c>
      <c r="J220" s="22">
        <v>40585</v>
      </c>
      <c r="K220" s="23">
        <v>1162</v>
      </c>
      <c r="L220" s="23">
        <v>1336</v>
      </c>
      <c r="M220" s="24">
        <v>228800000</v>
      </c>
      <c r="N220" s="24">
        <v>79200000</v>
      </c>
      <c r="O220" s="25">
        <v>308000000</v>
      </c>
      <c r="P220" s="26">
        <v>0.10623077922077923</v>
      </c>
      <c r="Q220" s="26">
        <v>8.482467532467533E-2</v>
      </c>
      <c r="R220" s="26">
        <v>0.80692808441558439</v>
      </c>
      <c r="S220" s="27">
        <v>2.016461038961039E-3</v>
      </c>
      <c r="T220" s="1"/>
    </row>
    <row r="221" spans="2:20" ht="12.5" x14ac:dyDescent="0.25">
      <c r="B221" s="18" t="s">
        <v>374</v>
      </c>
      <c r="C221" s="19" t="s">
        <v>179</v>
      </c>
      <c r="D221" s="19" t="s">
        <v>636</v>
      </c>
      <c r="E221" s="19" t="s">
        <v>204</v>
      </c>
      <c r="F221" s="19" t="s">
        <v>24</v>
      </c>
      <c r="G221" s="19" t="s">
        <v>181</v>
      </c>
      <c r="H221" s="20">
        <v>40585</v>
      </c>
      <c r="I221" s="21">
        <v>8.25</v>
      </c>
      <c r="J221" s="22">
        <v>40589</v>
      </c>
      <c r="K221" s="23">
        <v>1620</v>
      </c>
      <c r="L221" s="23">
        <v>1822</v>
      </c>
      <c r="M221" s="24">
        <v>278602500</v>
      </c>
      <c r="N221" s="24">
        <v>0</v>
      </c>
      <c r="O221" s="25">
        <v>278602500</v>
      </c>
      <c r="P221" s="26">
        <v>0.12608430559668346</v>
      </c>
      <c r="Q221" s="26">
        <v>0.34393180337577733</v>
      </c>
      <c r="R221" s="26">
        <v>0.52754006514657981</v>
      </c>
      <c r="S221" s="27">
        <v>2.4438258809594314E-3</v>
      </c>
      <c r="T221" s="1"/>
    </row>
    <row r="222" spans="2:20" ht="12.5" x14ac:dyDescent="0.25">
      <c r="B222" s="18" t="s">
        <v>375</v>
      </c>
      <c r="C222" s="19" t="s">
        <v>179</v>
      </c>
      <c r="D222" s="19" t="s">
        <v>637</v>
      </c>
      <c r="E222" s="19" t="s">
        <v>348</v>
      </c>
      <c r="F222" s="19" t="s">
        <v>23</v>
      </c>
      <c r="G222" s="19" t="s">
        <v>181</v>
      </c>
      <c r="H222" s="20">
        <v>40605</v>
      </c>
      <c r="I222" s="21">
        <v>13.5</v>
      </c>
      <c r="J222" s="22">
        <v>40611</v>
      </c>
      <c r="K222" s="23">
        <v>669</v>
      </c>
      <c r="L222" s="23">
        <v>775</v>
      </c>
      <c r="M222" s="24">
        <v>320515987.5</v>
      </c>
      <c r="N222" s="24">
        <v>133079733</v>
      </c>
      <c r="O222" s="25">
        <v>453595720.5</v>
      </c>
      <c r="P222" s="26">
        <v>2.6061733975287802E-2</v>
      </c>
      <c r="Q222" s="26">
        <v>4.086136765040313E-2</v>
      </c>
      <c r="R222" s="26">
        <v>0.93203641236734291</v>
      </c>
      <c r="S222" s="27">
        <v>1.0404860069661967E-3</v>
      </c>
      <c r="T222" s="1"/>
    </row>
    <row r="223" spans="2:20" ht="12.5" x14ac:dyDescent="0.25">
      <c r="B223" s="18" t="s">
        <v>376</v>
      </c>
      <c r="C223" s="19" t="s">
        <v>179</v>
      </c>
      <c r="D223" s="19" t="s">
        <v>638</v>
      </c>
      <c r="E223" s="19" t="s">
        <v>202</v>
      </c>
      <c r="F223" s="19" t="s">
        <v>23</v>
      </c>
      <c r="G223" s="19" t="s">
        <v>181</v>
      </c>
      <c r="H223" s="20">
        <v>40644</v>
      </c>
      <c r="I223" s="21">
        <v>16</v>
      </c>
      <c r="J223" s="22">
        <v>40646</v>
      </c>
      <c r="K223" s="23">
        <v>900</v>
      </c>
      <c r="L223" s="23">
        <v>1041</v>
      </c>
      <c r="M223" s="24">
        <v>187586208</v>
      </c>
      <c r="N223" s="24">
        <v>315476128</v>
      </c>
      <c r="O223" s="25">
        <v>503062336</v>
      </c>
      <c r="P223" s="26">
        <v>3.9950934669273609E-2</v>
      </c>
      <c r="Q223" s="26">
        <v>5.0783762468071814E-2</v>
      </c>
      <c r="R223" s="26">
        <v>0.90842230029131132</v>
      </c>
      <c r="S223" s="27">
        <v>8.4300257134326461E-4</v>
      </c>
      <c r="T223" s="1"/>
    </row>
    <row r="224" spans="2:20" ht="12.5" x14ac:dyDescent="0.25">
      <c r="B224" s="18" t="s">
        <v>199</v>
      </c>
      <c r="C224" s="19" t="s">
        <v>189</v>
      </c>
      <c r="D224" s="19" t="s">
        <v>589</v>
      </c>
      <c r="E224" s="19" t="s">
        <v>348</v>
      </c>
      <c r="F224" s="19" t="s">
        <v>24</v>
      </c>
      <c r="G224" s="19" t="s">
        <v>181</v>
      </c>
      <c r="H224" s="20">
        <v>40645</v>
      </c>
      <c r="I224" s="21">
        <v>18.336658749391823</v>
      </c>
      <c r="J224" s="22">
        <v>40647</v>
      </c>
      <c r="K224" s="23">
        <v>10579</v>
      </c>
      <c r="L224" s="23">
        <v>12141</v>
      </c>
      <c r="M224" s="24">
        <v>3719719767.2919645</v>
      </c>
      <c r="N224" s="24">
        <v>1265229453.7080357</v>
      </c>
      <c r="O224" s="25">
        <v>4984949221</v>
      </c>
      <c r="P224" s="26">
        <v>7.582816324036093E-2</v>
      </c>
      <c r="Q224" s="26">
        <v>0.29844854643822538</v>
      </c>
      <c r="R224" s="26">
        <v>0.39040359926734458</v>
      </c>
      <c r="S224" s="27">
        <v>0.23531969105406925</v>
      </c>
      <c r="T224" s="1"/>
    </row>
    <row r="225" spans="2:20" ht="12.5" x14ac:dyDescent="0.25">
      <c r="B225" s="18" t="s">
        <v>377</v>
      </c>
      <c r="C225" s="19" t="s">
        <v>179</v>
      </c>
      <c r="D225" s="19" t="s">
        <v>639</v>
      </c>
      <c r="E225" s="19" t="s">
        <v>204</v>
      </c>
      <c r="F225" s="19" t="s">
        <v>23</v>
      </c>
      <c r="G225" s="19" t="s">
        <v>181</v>
      </c>
      <c r="H225" s="20">
        <v>40661</v>
      </c>
      <c r="I225" s="21">
        <v>16</v>
      </c>
      <c r="J225" s="22">
        <v>40665</v>
      </c>
      <c r="K225" s="23">
        <v>34496</v>
      </c>
      <c r="L225" s="23">
        <v>36995</v>
      </c>
      <c r="M225" s="24">
        <v>583911472</v>
      </c>
      <c r="N225" s="24">
        <v>302469264</v>
      </c>
      <c r="O225" s="25">
        <v>886380736</v>
      </c>
      <c r="P225" s="26">
        <v>0.20802924274677803</v>
      </c>
      <c r="Q225" s="26">
        <v>0.30141201082666297</v>
      </c>
      <c r="R225" s="26">
        <v>0.46802855213326644</v>
      </c>
      <c r="S225" s="27">
        <v>2.2530194293292567E-2</v>
      </c>
      <c r="T225" s="1"/>
    </row>
    <row r="226" spans="2:20" ht="12.5" x14ac:dyDescent="0.25">
      <c r="B226" s="18" t="s">
        <v>378</v>
      </c>
      <c r="C226" s="19" t="s">
        <v>179</v>
      </c>
      <c r="D226" s="19" t="s">
        <v>603</v>
      </c>
      <c r="E226" s="19" t="s">
        <v>204</v>
      </c>
      <c r="F226" s="19" t="s">
        <v>24</v>
      </c>
      <c r="G226" s="19" t="s">
        <v>181</v>
      </c>
      <c r="H226" s="20">
        <v>40673</v>
      </c>
      <c r="I226" s="21">
        <v>17.2</v>
      </c>
      <c r="J226" s="22">
        <v>40675</v>
      </c>
      <c r="K226" s="23">
        <v>950</v>
      </c>
      <c r="L226" s="23">
        <v>1486</v>
      </c>
      <c r="M226" s="24">
        <v>731000000</v>
      </c>
      <c r="N226" s="24">
        <v>0</v>
      </c>
      <c r="O226" s="25">
        <v>731000000</v>
      </c>
      <c r="P226" s="26">
        <v>5.9335835294117636E-2</v>
      </c>
      <c r="Q226" s="26">
        <v>0.22571101176470587</v>
      </c>
      <c r="R226" s="26">
        <v>0.71218957647058823</v>
      </c>
      <c r="S226" s="27">
        <v>2.7635764705882353E-3</v>
      </c>
      <c r="T226" s="1"/>
    </row>
    <row r="227" spans="2:20" ht="12.5" x14ac:dyDescent="0.25">
      <c r="B227" s="18" t="s">
        <v>379</v>
      </c>
      <c r="C227" s="19" t="s">
        <v>179</v>
      </c>
      <c r="D227" s="19" t="s">
        <v>607</v>
      </c>
      <c r="E227" s="19" t="s">
        <v>348</v>
      </c>
      <c r="F227" s="19" t="s">
        <v>23</v>
      </c>
      <c r="G227" s="19" t="s">
        <v>181</v>
      </c>
      <c r="H227" s="20">
        <v>40716</v>
      </c>
      <c r="I227" s="21">
        <v>17.25</v>
      </c>
      <c r="J227" s="22">
        <v>40721</v>
      </c>
      <c r="K227" s="23">
        <v>141</v>
      </c>
      <c r="L227" s="23">
        <v>372</v>
      </c>
      <c r="M227" s="24">
        <v>414000000</v>
      </c>
      <c r="N227" s="24">
        <v>0</v>
      </c>
      <c r="O227" s="25">
        <v>414000000</v>
      </c>
      <c r="P227" s="26">
        <v>0.10044444444444445</v>
      </c>
      <c r="Q227" s="26">
        <v>0.33304866666666666</v>
      </c>
      <c r="R227" s="26">
        <v>0.5639142962962963</v>
      </c>
      <c r="S227" s="27">
        <v>2.5925925925925925E-3</v>
      </c>
      <c r="T227" s="1"/>
    </row>
    <row r="228" spans="2:20" ht="12.5" x14ac:dyDescent="0.25">
      <c r="B228" s="18" t="s">
        <v>380</v>
      </c>
      <c r="C228" s="19" t="s">
        <v>179</v>
      </c>
      <c r="D228" s="19" t="s">
        <v>587</v>
      </c>
      <c r="E228" s="19" t="s">
        <v>381</v>
      </c>
      <c r="F228" s="19" t="s">
        <v>23</v>
      </c>
      <c r="G228" s="19" t="s">
        <v>181</v>
      </c>
      <c r="H228" s="20">
        <v>40721</v>
      </c>
      <c r="I228" s="21">
        <v>13</v>
      </c>
      <c r="J228" s="22">
        <v>40723</v>
      </c>
      <c r="K228" s="23">
        <v>807</v>
      </c>
      <c r="L228" s="23">
        <v>997</v>
      </c>
      <c r="M228" s="24">
        <v>353852577</v>
      </c>
      <c r="N228" s="24">
        <v>731295305</v>
      </c>
      <c r="O228" s="25">
        <v>1085147882</v>
      </c>
      <c r="P228" s="26">
        <v>1.9884629881257051E-2</v>
      </c>
      <c r="Q228" s="26">
        <v>8.3228770472778754E-2</v>
      </c>
      <c r="R228" s="26">
        <v>0.89637163020330168</v>
      </c>
      <c r="S228" s="27">
        <v>5.1496944266256242E-4</v>
      </c>
      <c r="T228" s="1"/>
    </row>
    <row r="229" spans="2:20" ht="12.5" x14ac:dyDescent="0.25">
      <c r="B229" s="18" t="s">
        <v>382</v>
      </c>
      <c r="C229" s="19" t="s">
        <v>179</v>
      </c>
      <c r="D229" s="19" t="s">
        <v>629</v>
      </c>
      <c r="E229" s="19" t="s">
        <v>204</v>
      </c>
      <c r="F229" s="19" t="s">
        <v>24</v>
      </c>
      <c r="G229" s="19" t="s">
        <v>181</v>
      </c>
      <c r="H229" s="20">
        <v>40722</v>
      </c>
      <c r="I229" s="21">
        <v>17.149999999999999</v>
      </c>
      <c r="J229" s="22">
        <v>40724</v>
      </c>
      <c r="K229" s="23">
        <v>607</v>
      </c>
      <c r="L229" s="23">
        <v>951</v>
      </c>
      <c r="M229" s="24">
        <v>690287500</v>
      </c>
      <c r="N229" s="24">
        <v>0</v>
      </c>
      <c r="O229" s="25">
        <v>690287500</v>
      </c>
      <c r="P229" s="26">
        <v>5.7693639751552783E-2</v>
      </c>
      <c r="Q229" s="26">
        <v>0.24812397515527951</v>
      </c>
      <c r="R229" s="26">
        <v>0.68790832298136639</v>
      </c>
      <c r="S229" s="27">
        <v>6.2740621118012414E-3</v>
      </c>
      <c r="T229" s="1"/>
    </row>
    <row r="230" spans="2:20" ht="12.5" x14ac:dyDescent="0.25">
      <c r="B230" s="18" t="s">
        <v>383</v>
      </c>
      <c r="C230" s="19" t="s">
        <v>179</v>
      </c>
      <c r="D230" s="19" t="s">
        <v>640</v>
      </c>
      <c r="E230" s="19" t="s">
        <v>204</v>
      </c>
      <c r="F230" s="19" t="s">
        <v>23</v>
      </c>
      <c r="G230" s="19" t="s">
        <v>181</v>
      </c>
      <c r="H230" s="20">
        <v>40722</v>
      </c>
      <c r="I230" s="21">
        <v>16.5</v>
      </c>
      <c r="J230" s="22">
        <v>40725</v>
      </c>
      <c r="K230" s="23">
        <v>586</v>
      </c>
      <c r="L230" s="23">
        <v>739</v>
      </c>
      <c r="M230" s="24">
        <v>180608109</v>
      </c>
      <c r="N230" s="24">
        <v>280945945.5</v>
      </c>
      <c r="O230" s="25">
        <v>461554054.5</v>
      </c>
      <c r="P230" s="26">
        <v>5.7827210572147625E-2</v>
      </c>
      <c r="Q230" s="26">
        <v>0.3897494199132856</v>
      </c>
      <c r="R230" s="26">
        <v>0.55167496854910636</v>
      </c>
      <c r="S230" s="27">
        <v>7.5161835676172141E-4</v>
      </c>
      <c r="T230" s="1"/>
    </row>
    <row r="231" spans="2:20" ht="12.5" x14ac:dyDescent="0.25">
      <c r="B231" s="18" t="s">
        <v>308</v>
      </c>
      <c r="C231" s="19" t="s">
        <v>184</v>
      </c>
      <c r="D231" s="19" t="s">
        <v>614</v>
      </c>
      <c r="E231" s="19" t="s">
        <v>204</v>
      </c>
      <c r="F231" s="19" t="s">
        <v>24</v>
      </c>
      <c r="G231" s="19" t="s">
        <v>181</v>
      </c>
      <c r="H231" s="20">
        <v>40723</v>
      </c>
      <c r="I231" s="21">
        <v>19.25</v>
      </c>
      <c r="J231" s="22">
        <v>40725</v>
      </c>
      <c r="K231" s="23">
        <v>413</v>
      </c>
      <c r="L231" s="23">
        <v>587</v>
      </c>
      <c r="M231" s="24">
        <v>380229850</v>
      </c>
      <c r="N231" s="24">
        <v>15400000</v>
      </c>
      <c r="O231" s="25">
        <v>395629850</v>
      </c>
      <c r="P231" s="26">
        <v>8.3583963759909397E-2</v>
      </c>
      <c r="Q231" s="26">
        <v>0.19731646659116647</v>
      </c>
      <c r="R231" s="26">
        <v>0.71769019252548127</v>
      </c>
      <c r="S231" s="27">
        <v>1.4093771234428086E-3</v>
      </c>
      <c r="T231" s="1"/>
    </row>
    <row r="232" spans="2:20" ht="12.5" x14ac:dyDescent="0.25">
      <c r="B232" s="18" t="s">
        <v>384</v>
      </c>
      <c r="C232" s="19" t="s">
        <v>179</v>
      </c>
      <c r="D232" s="19" t="s">
        <v>598</v>
      </c>
      <c r="E232" s="19" t="s">
        <v>204</v>
      </c>
      <c r="F232" s="19" t="s">
        <v>24</v>
      </c>
      <c r="G232" s="19" t="s">
        <v>181</v>
      </c>
      <c r="H232" s="20">
        <v>40724</v>
      </c>
      <c r="I232" s="21">
        <v>41</v>
      </c>
      <c r="J232" s="22">
        <v>40729</v>
      </c>
      <c r="K232" s="23">
        <v>377</v>
      </c>
      <c r="L232" s="23">
        <v>619</v>
      </c>
      <c r="M232" s="24">
        <v>0</v>
      </c>
      <c r="N232" s="24">
        <v>305766315</v>
      </c>
      <c r="O232" s="25">
        <v>305766315</v>
      </c>
      <c r="P232" s="26">
        <v>8.9420187357390601E-2</v>
      </c>
      <c r="Q232" s="26">
        <v>0.41020168490750974</v>
      </c>
      <c r="R232" s="26">
        <v>0.37887378880545819</v>
      </c>
      <c r="S232" s="27">
        <v>0.12150433892964148</v>
      </c>
      <c r="T232" s="1"/>
    </row>
    <row r="233" spans="2:20" ht="12.5" x14ac:dyDescent="0.25">
      <c r="B233" s="51" t="s">
        <v>216</v>
      </c>
      <c r="C233" s="52" t="s">
        <v>179</v>
      </c>
      <c r="D233" s="52" t="s">
        <v>584</v>
      </c>
      <c r="E233" s="52" t="s">
        <v>211</v>
      </c>
      <c r="F233" s="52" t="s">
        <v>24</v>
      </c>
      <c r="G233" s="52" t="s">
        <v>181</v>
      </c>
      <c r="H233" s="53">
        <v>40731</v>
      </c>
      <c r="I233" s="54">
        <v>37</v>
      </c>
      <c r="J233" s="55">
        <v>40735</v>
      </c>
      <c r="K233" s="56">
        <v>1278</v>
      </c>
      <c r="L233" s="56">
        <v>1816</v>
      </c>
      <c r="M233" s="57">
        <v>0</v>
      </c>
      <c r="N233" s="57">
        <v>810724020</v>
      </c>
      <c r="O233" s="58">
        <v>810724020</v>
      </c>
      <c r="P233" s="59">
        <v>0.10626512336466853</v>
      </c>
      <c r="Q233" s="59">
        <v>0.29300804236687106</v>
      </c>
      <c r="R233" s="59">
        <v>0.59803344916313195</v>
      </c>
      <c r="S233" s="60">
        <v>2.6933851053284447E-3</v>
      </c>
      <c r="T233" s="1"/>
    </row>
    <row r="234" spans="2:20" ht="12.5" x14ac:dyDescent="0.25">
      <c r="B234" s="18" t="s">
        <v>385</v>
      </c>
      <c r="C234" s="19" t="s">
        <v>184</v>
      </c>
      <c r="D234" s="19" t="s">
        <v>641</v>
      </c>
      <c r="E234" s="19" t="s">
        <v>202</v>
      </c>
      <c r="F234" s="19" t="s">
        <v>23</v>
      </c>
      <c r="G234" s="19" t="s">
        <v>181</v>
      </c>
      <c r="H234" s="20">
        <v>40745</v>
      </c>
      <c r="I234" s="21">
        <v>20</v>
      </c>
      <c r="J234" s="22">
        <v>40750</v>
      </c>
      <c r="K234" s="23">
        <v>1394</v>
      </c>
      <c r="L234" s="23">
        <v>1604</v>
      </c>
      <c r="M234" s="24">
        <v>371134040</v>
      </c>
      <c r="N234" s="24">
        <v>0</v>
      </c>
      <c r="O234" s="25">
        <v>371134040</v>
      </c>
      <c r="P234" s="26">
        <v>0.11937944182078458</v>
      </c>
      <c r="Q234" s="26">
        <v>0.35915771576161376</v>
      </c>
      <c r="R234" s="26">
        <v>0.42445698863183473</v>
      </c>
      <c r="S234" s="27">
        <v>9.7005853785766927E-2</v>
      </c>
      <c r="T234" s="1"/>
    </row>
    <row r="235" spans="2:20" ht="13" thickBot="1" x14ac:dyDescent="0.3">
      <c r="B235" s="61" t="s">
        <v>386</v>
      </c>
      <c r="C235" s="62" t="s">
        <v>179</v>
      </c>
      <c r="D235" s="62" t="s">
        <v>642</v>
      </c>
      <c r="E235" s="62" t="s">
        <v>204</v>
      </c>
      <c r="F235" s="62" t="s">
        <v>24</v>
      </c>
      <c r="G235" s="62" t="s">
        <v>181</v>
      </c>
      <c r="H235" s="63">
        <v>40820</v>
      </c>
      <c r="I235" s="64">
        <v>8.6</v>
      </c>
      <c r="J235" s="65">
        <v>40822</v>
      </c>
      <c r="K235" s="66">
        <v>650</v>
      </c>
      <c r="L235" s="66">
        <v>988</v>
      </c>
      <c r="M235" s="67">
        <v>1722221964.8</v>
      </c>
      <c r="N235" s="67">
        <v>0</v>
      </c>
      <c r="O235" s="68">
        <v>1722221964.8</v>
      </c>
      <c r="P235" s="69">
        <v>2.4841318990475345E-2</v>
      </c>
      <c r="Q235" s="69">
        <v>7.5799673949205462E-2</v>
      </c>
      <c r="R235" s="69">
        <v>0.21454081759020427</v>
      </c>
      <c r="S235" s="70">
        <v>0.68481818947011508</v>
      </c>
      <c r="T235" s="1"/>
    </row>
    <row r="236" spans="2:20" ht="13" thickTop="1" x14ac:dyDescent="0.25">
      <c r="B236" s="40" t="s">
        <v>380</v>
      </c>
      <c r="C236" s="41" t="s">
        <v>179</v>
      </c>
      <c r="D236" s="41" t="s">
        <v>587</v>
      </c>
      <c r="E236" s="41" t="s">
        <v>202</v>
      </c>
      <c r="F236" s="41" t="s">
        <v>24</v>
      </c>
      <c r="G236" s="41" t="s">
        <v>181</v>
      </c>
      <c r="H236" s="42">
        <v>41016</v>
      </c>
      <c r="I236" s="43">
        <v>16.5</v>
      </c>
      <c r="J236" s="44">
        <v>41017</v>
      </c>
      <c r="K236" s="45">
        <v>731</v>
      </c>
      <c r="L236" s="45">
        <v>1077</v>
      </c>
      <c r="M236" s="71" t="s">
        <v>387</v>
      </c>
      <c r="N236" s="46">
        <v>758544451.5</v>
      </c>
      <c r="O236" s="47">
        <v>758544451.5</v>
      </c>
      <c r="P236" s="48">
        <v>6.4739987093557952E-2</v>
      </c>
      <c r="Q236" s="48">
        <v>0.27328648187996141</v>
      </c>
      <c r="R236" s="48">
        <v>0.66053660337135822</v>
      </c>
      <c r="S236" s="49">
        <v>1.4369276551223973E-3</v>
      </c>
      <c r="T236" s="1"/>
    </row>
    <row r="237" spans="2:20" ht="12.5" x14ac:dyDescent="0.25">
      <c r="B237" s="18" t="s">
        <v>388</v>
      </c>
      <c r="C237" s="19" t="s">
        <v>179</v>
      </c>
      <c r="D237" s="19" t="s">
        <v>643</v>
      </c>
      <c r="E237" s="19" t="s">
        <v>204</v>
      </c>
      <c r="F237" s="19" t="s">
        <v>23</v>
      </c>
      <c r="G237" s="19" t="s">
        <v>181</v>
      </c>
      <c r="H237" s="20">
        <v>41018</v>
      </c>
      <c r="I237" s="21">
        <v>9</v>
      </c>
      <c r="J237" s="22">
        <v>41022</v>
      </c>
      <c r="K237" s="23">
        <v>239</v>
      </c>
      <c r="L237" s="23">
        <v>391</v>
      </c>
      <c r="M237" s="24">
        <v>163636362</v>
      </c>
      <c r="N237" s="24">
        <v>109343196</v>
      </c>
      <c r="O237" s="25">
        <v>272979558</v>
      </c>
      <c r="P237" s="26">
        <v>4.8338496074748306E-2</v>
      </c>
      <c r="Q237" s="26">
        <v>0.48627252196232712</v>
      </c>
      <c r="R237" s="26">
        <v>0.4629975861543783</v>
      </c>
      <c r="S237" s="27">
        <v>2.3913958085462757E-3</v>
      </c>
      <c r="T237" s="1"/>
    </row>
    <row r="238" spans="2:20" ht="12.5" x14ac:dyDescent="0.25">
      <c r="B238" s="18" t="s">
        <v>389</v>
      </c>
      <c r="C238" s="19" t="s">
        <v>179</v>
      </c>
      <c r="D238" s="19" t="s">
        <v>612</v>
      </c>
      <c r="E238" s="19" t="s">
        <v>204</v>
      </c>
      <c r="F238" s="19" t="s">
        <v>24</v>
      </c>
      <c r="G238" s="19" t="s">
        <v>181</v>
      </c>
      <c r="H238" s="20">
        <v>41023</v>
      </c>
      <c r="I238" s="21">
        <v>15.83</v>
      </c>
      <c r="J238" s="22">
        <v>41024</v>
      </c>
      <c r="K238" s="23">
        <v>847</v>
      </c>
      <c r="L238" s="23">
        <v>949</v>
      </c>
      <c r="M238" s="24">
        <v>1361380000</v>
      </c>
      <c r="N238" s="24">
        <v>0</v>
      </c>
      <c r="O238" s="25">
        <v>1361380000</v>
      </c>
      <c r="P238" s="26">
        <v>3.4337870507847944E-2</v>
      </c>
      <c r="Q238" s="26">
        <v>5.6549866989433657E-2</v>
      </c>
      <c r="R238" s="26">
        <v>0.32254015163034122</v>
      </c>
      <c r="S238" s="27">
        <v>0.58657211087237715</v>
      </c>
      <c r="T238" s="1"/>
    </row>
    <row r="239" spans="2:20" ht="12.5" x14ac:dyDescent="0.25">
      <c r="B239" s="18" t="s">
        <v>390</v>
      </c>
      <c r="C239" s="19" t="s">
        <v>210</v>
      </c>
      <c r="D239" s="19" t="s">
        <v>591</v>
      </c>
      <c r="E239" s="19" t="s">
        <v>348</v>
      </c>
      <c r="F239" s="19" t="s">
        <v>23</v>
      </c>
      <c r="G239" s="19" t="s">
        <v>181</v>
      </c>
      <c r="H239" s="20">
        <v>41023</v>
      </c>
      <c r="I239" s="21">
        <v>31.25</v>
      </c>
      <c r="J239" s="22">
        <v>41025</v>
      </c>
      <c r="K239" s="23">
        <v>6122</v>
      </c>
      <c r="L239" s="23">
        <v>7221</v>
      </c>
      <c r="M239" s="24">
        <v>2587500000</v>
      </c>
      <c r="N239" s="24">
        <v>646875000</v>
      </c>
      <c r="O239" s="25">
        <v>3234375000</v>
      </c>
      <c r="P239" s="26">
        <v>9.7693487179487185E-2</v>
      </c>
      <c r="Q239" s="26">
        <v>0.14050422222222222</v>
      </c>
      <c r="R239" s="26">
        <v>0.67565964957264957</v>
      </c>
      <c r="S239" s="27">
        <v>8.6142641025641023E-2</v>
      </c>
      <c r="T239" s="1"/>
    </row>
    <row r="240" spans="2:20" ht="12.5" x14ac:dyDescent="0.25">
      <c r="B240" s="18" t="s">
        <v>391</v>
      </c>
      <c r="C240" s="19" t="s">
        <v>179</v>
      </c>
      <c r="D240" s="19" t="s">
        <v>644</v>
      </c>
      <c r="E240" s="19" t="s">
        <v>348</v>
      </c>
      <c r="F240" s="19" t="s">
        <v>23</v>
      </c>
      <c r="G240" s="19" t="s">
        <v>181</v>
      </c>
      <c r="H240" s="20">
        <v>41024</v>
      </c>
      <c r="I240" s="21">
        <v>14</v>
      </c>
      <c r="J240" s="22">
        <v>41026</v>
      </c>
      <c r="K240" s="23">
        <v>774</v>
      </c>
      <c r="L240" s="23">
        <v>1040</v>
      </c>
      <c r="M240" s="24">
        <v>127909096</v>
      </c>
      <c r="N240" s="24">
        <v>297687082</v>
      </c>
      <c r="O240" s="25">
        <v>425596178</v>
      </c>
      <c r="P240" s="26">
        <v>3.8061361537884864E-2</v>
      </c>
      <c r="Q240" s="26">
        <v>0.50769130262255313</v>
      </c>
      <c r="R240" s="26">
        <v>0.45133494126443963</v>
      </c>
      <c r="S240" s="27">
        <v>2.9123945751223356E-3</v>
      </c>
      <c r="T240" s="1"/>
    </row>
    <row r="241" spans="2:19" ht="12.5" x14ac:dyDescent="0.25">
      <c r="B241" s="18" t="s">
        <v>379</v>
      </c>
      <c r="C241" s="19" t="s">
        <v>179</v>
      </c>
      <c r="D241" s="19" t="s">
        <v>645</v>
      </c>
      <c r="E241" s="19" t="s">
        <v>348</v>
      </c>
      <c r="F241" s="19" t="s">
        <v>24</v>
      </c>
      <c r="G241" s="19" t="s">
        <v>181</v>
      </c>
      <c r="H241" s="20">
        <v>41081</v>
      </c>
      <c r="I241" s="21">
        <v>9.25</v>
      </c>
      <c r="J241" s="22">
        <v>41085</v>
      </c>
      <c r="K241" s="23">
        <v>18</v>
      </c>
      <c r="L241" s="23">
        <v>384</v>
      </c>
      <c r="M241" s="24">
        <v>488400000</v>
      </c>
      <c r="N241" s="24">
        <v>64750000</v>
      </c>
      <c r="O241" s="25">
        <v>553150000</v>
      </c>
      <c r="P241" s="26">
        <v>3.278344481605351E-3</v>
      </c>
      <c r="Q241" s="26">
        <v>0.32102429765886287</v>
      </c>
      <c r="R241" s="26">
        <v>0.44901657190635452</v>
      </c>
      <c r="S241" s="27">
        <v>0.22668078595317726</v>
      </c>
    </row>
    <row r="242" spans="2:19" ht="12.5" x14ac:dyDescent="0.25">
      <c r="B242" s="18" t="s">
        <v>271</v>
      </c>
      <c r="C242" s="19" t="s">
        <v>189</v>
      </c>
      <c r="D242" s="19" t="s">
        <v>612</v>
      </c>
      <c r="E242" s="19" t="s">
        <v>348</v>
      </c>
      <c r="F242" s="19" t="s">
        <v>24</v>
      </c>
      <c r="G242" s="19" t="s">
        <v>181</v>
      </c>
      <c r="H242" s="20">
        <v>41087</v>
      </c>
      <c r="I242" s="21">
        <v>4</v>
      </c>
      <c r="J242" s="22">
        <v>41089</v>
      </c>
      <c r="K242" s="23">
        <v>281</v>
      </c>
      <c r="L242" s="23">
        <v>484</v>
      </c>
      <c r="M242" s="24">
        <v>1463368856</v>
      </c>
      <c r="N242" s="24">
        <v>0</v>
      </c>
      <c r="O242" s="25">
        <v>1463368856</v>
      </c>
      <c r="P242" s="26">
        <v>0.12004917147788391</v>
      </c>
      <c r="Q242" s="26">
        <v>0.15703294961631589</v>
      </c>
      <c r="R242" s="26">
        <v>9.8991528099804299E-2</v>
      </c>
      <c r="S242" s="27">
        <v>0.6239263508059959</v>
      </c>
    </row>
    <row r="243" spans="2:19" ht="12.5" x14ac:dyDescent="0.25">
      <c r="B243" s="51" t="s">
        <v>392</v>
      </c>
      <c r="C243" s="52" t="s">
        <v>184</v>
      </c>
      <c r="D243" s="52" t="s">
        <v>584</v>
      </c>
      <c r="E243" s="52" t="s">
        <v>348</v>
      </c>
      <c r="F243" s="52" t="s">
        <v>24</v>
      </c>
      <c r="G243" s="52" t="s">
        <v>181</v>
      </c>
      <c r="H243" s="53">
        <v>41109</v>
      </c>
      <c r="I243" s="54">
        <v>65</v>
      </c>
      <c r="J243" s="55">
        <v>41110</v>
      </c>
      <c r="K243" s="56">
        <v>1547</v>
      </c>
      <c r="L243" s="56">
        <v>2184</v>
      </c>
      <c r="M243" s="57">
        <v>1755000000</v>
      </c>
      <c r="N243" s="57">
        <v>0</v>
      </c>
      <c r="O243" s="58">
        <v>1755000000</v>
      </c>
      <c r="P243" s="59">
        <v>3.8474296296296298E-2</v>
      </c>
      <c r="Q243" s="59">
        <v>0.3166977777777778</v>
      </c>
      <c r="R243" s="59">
        <v>0.54748325925925923</v>
      </c>
      <c r="S243" s="60">
        <v>9.7344666666666663E-2</v>
      </c>
    </row>
    <row r="244" spans="2:19" ht="12.5" x14ac:dyDescent="0.25">
      <c r="B244" s="51" t="s">
        <v>304</v>
      </c>
      <c r="C244" s="19" t="s">
        <v>179</v>
      </c>
      <c r="D244" s="19" t="s">
        <v>606</v>
      </c>
      <c r="E244" s="19" t="s">
        <v>348</v>
      </c>
      <c r="F244" s="19" t="s">
        <v>24</v>
      </c>
      <c r="G244" s="19" t="s">
        <v>181</v>
      </c>
      <c r="H244" s="20">
        <v>41241</v>
      </c>
      <c r="I244" s="21">
        <v>11</v>
      </c>
      <c r="J244" s="22">
        <v>41243</v>
      </c>
      <c r="K244" s="56">
        <v>1142</v>
      </c>
      <c r="L244" s="56">
        <v>1483</v>
      </c>
      <c r="M244" s="24">
        <v>415391900</v>
      </c>
      <c r="N244" s="24">
        <v>82500000</v>
      </c>
      <c r="O244" s="25">
        <v>497891900</v>
      </c>
      <c r="P244" s="59">
        <v>9.5067259259259254E-2</v>
      </c>
      <c r="Q244" s="59">
        <v>0.41931348148148151</v>
      </c>
      <c r="R244" s="59">
        <v>0.43512325925925927</v>
      </c>
      <c r="S244" s="60">
        <v>5.0495999999999999E-2</v>
      </c>
    </row>
    <row r="245" spans="2:19" ht="12.5" x14ac:dyDescent="0.25">
      <c r="B245" s="51" t="s">
        <v>298</v>
      </c>
      <c r="C245" s="52" t="s">
        <v>179</v>
      </c>
      <c r="D245" s="52" t="s">
        <v>606</v>
      </c>
      <c r="E245" s="52" t="s">
        <v>204</v>
      </c>
      <c r="F245" s="52" t="s">
        <v>24</v>
      </c>
      <c r="G245" s="52" t="s">
        <v>181</v>
      </c>
      <c r="H245" s="53">
        <v>41247</v>
      </c>
      <c r="I245" s="54">
        <v>8</v>
      </c>
      <c r="J245" s="55">
        <v>41249</v>
      </c>
      <c r="K245" s="72">
        <v>2439</v>
      </c>
      <c r="L245" s="72">
        <v>2881</v>
      </c>
      <c r="M245" s="57">
        <v>1050000000.0000001</v>
      </c>
      <c r="N245" s="57">
        <v>0</v>
      </c>
      <c r="O245" s="58">
        <v>1050000000.0000001</v>
      </c>
      <c r="P245" s="26">
        <v>3.1339489523809522E-2</v>
      </c>
      <c r="Q245" s="26">
        <v>0.25312121142857141</v>
      </c>
      <c r="R245" s="26">
        <v>0.53749121523809529</v>
      </c>
      <c r="S245" s="27">
        <v>0.1780480838095238</v>
      </c>
    </row>
    <row r="246" spans="2:19" ht="12.5" x14ac:dyDescent="0.25">
      <c r="B246" s="18" t="s">
        <v>231</v>
      </c>
      <c r="C246" s="19" t="s">
        <v>179</v>
      </c>
      <c r="D246" s="19" t="s">
        <v>584</v>
      </c>
      <c r="E246" s="19" t="s">
        <v>348</v>
      </c>
      <c r="F246" s="19" t="s">
        <v>24</v>
      </c>
      <c r="G246" s="19" t="s">
        <v>181</v>
      </c>
      <c r="H246" s="20">
        <v>41250</v>
      </c>
      <c r="I246" s="21">
        <v>16</v>
      </c>
      <c r="J246" s="22">
        <v>41253</v>
      </c>
      <c r="K246" s="72">
        <v>3146</v>
      </c>
      <c r="L246" s="72">
        <v>3554</v>
      </c>
      <c r="M246" s="24">
        <v>1210113984</v>
      </c>
      <c r="N246" s="24">
        <v>210454608</v>
      </c>
      <c r="O246" s="25">
        <v>1420568592</v>
      </c>
      <c r="P246" s="26">
        <v>6.7058207915102211E-2</v>
      </c>
      <c r="Q246" s="26">
        <v>0.51489046014330009</v>
      </c>
      <c r="R246" s="26">
        <v>0.41591203080745009</v>
      </c>
      <c r="S246" s="27">
        <v>4.2392602750152874E-3</v>
      </c>
    </row>
    <row r="247" spans="2:19" ht="13" thickBot="1" x14ac:dyDescent="0.3">
      <c r="B247" s="61" t="s">
        <v>355</v>
      </c>
      <c r="C247" s="62" t="s">
        <v>179</v>
      </c>
      <c r="D247" s="62" t="s">
        <v>629</v>
      </c>
      <c r="E247" s="62" t="s">
        <v>204</v>
      </c>
      <c r="F247" s="62" t="s">
        <v>24</v>
      </c>
      <c r="G247" s="62" t="s">
        <v>181</v>
      </c>
      <c r="H247" s="63">
        <v>41255</v>
      </c>
      <c r="I247" s="64">
        <v>23.25</v>
      </c>
      <c r="J247" s="65">
        <v>41257</v>
      </c>
      <c r="K247" s="66">
        <v>3613</v>
      </c>
      <c r="L247" s="66">
        <v>3998</v>
      </c>
      <c r="M247" s="67">
        <v>447629692.5</v>
      </c>
      <c r="N247" s="67">
        <v>0</v>
      </c>
      <c r="O247" s="68">
        <v>447629692.5</v>
      </c>
      <c r="P247" s="69">
        <v>0.10899973977932663</v>
      </c>
      <c r="Q247" s="69">
        <v>0.36462598602079999</v>
      </c>
      <c r="R247" s="69">
        <v>0.52315101784719076</v>
      </c>
      <c r="S247" s="70">
        <v>3.2232563526826364E-3</v>
      </c>
    </row>
    <row r="248" spans="2:19" ht="13" thickTop="1" x14ac:dyDescent="0.25">
      <c r="B248" s="73" t="s">
        <v>316</v>
      </c>
      <c r="C248" s="74" t="s">
        <v>179</v>
      </c>
      <c r="D248" s="74" t="s">
        <v>614</v>
      </c>
      <c r="E248" s="74" t="s">
        <v>202</v>
      </c>
      <c r="F248" s="74" t="s">
        <v>24</v>
      </c>
      <c r="G248" s="74" t="s">
        <v>181</v>
      </c>
      <c r="H248" s="75">
        <v>41297</v>
      </c>
      <c r="I248" s="76">
        <v>42</v>
      </c>
      <c r="J248" s="77">
        <v>41302</v>
      </c>
      <c r="K248" s="78">
        <v>6213</v>
      </c>
      <c r="L248" s="79">
        <v>6708</v>
      </c>
      <c r="M248" s="80">
        <v>616858200</v>
      </c>
      <c r="N248" s="81">
        <v>151826346</v>
      </c>
      <c r="O248" s="82">
        <v>768684546</v>
      </c>
      <c r="P248" s="83">
        <v>0.10314023927313351</v>
      </c>
      <c r="Q248" s="84">
        <v>0.34422896541489728</v>
      </c>
      <c r="R248" s="84">
        <v>0.55040502921727785</v>
      </c>
      <c r="S248" s="85">
        <v>2.2257660946913326E-3</v>
      </c>
    </row>
    <row r="249" spans="2:19" ht="12.5" x14ac:dyDescent="0.25">
      <c r="B249" s="18" t="s">
        <v>393</v>
      </c>
      <c r="C249" s="19" t="s">
        <v>179</v>
      </c>
      <c r="D249" s="19" t="s">
        <v>597</v>
      </c>
      <c r="E249" s="19" t="s">
        <v>202</v>
      </c>
      <c r="F249" s="19" t="s">
        <v>23</v>
      </c>
      <c r="G249" s="19" t="s">
        <v>181</v>
      </c>
      <c r="H249" s="20">
        <v>41311</v>
      </c>
      <c r="I249" s="21">
        <v>27</v>
      </c>
      <c r="J249" s="22">
        <v>41313</v>
      </c>
      <c r="K249" s="72">
        <v>6247</v>
      </c>
      <c r="L249" s="72">
        <v>6923</v>
      </c>
      <c r="M249" s="24">
        <v>343102500</v>
      </c>
      <c r="N249" s="24">
        <v>184747500</v>
      </c>
      <c r="O249" s="25">
        <v>527850000</v>
      </c>
      <c r="P249" s="26">
        <v>0.11018925831202046</v>
      </c>
      <c r="Q249" s="26">
        <v>0.26624680306905368</v>
      </c>
      <c r="R249" s="26">
        <v>0.6218769309462916</v>
      </c>
      <c r="S249" s="27">
        <v>1.6870076726342711E-3</v>
      </c>
    </row>
    <row r="250" spans="2:19" ht="12.5" x14ac:dyDescent="0.25">
      <c r="B250" s="18" t="s">
        <v>394</v>
      </c>
      <c r="C250" s="19" t="s">
        <v>337</v>
      </c>
      <c r="D250" s="19" t="s">
        <v>597</v>
      </c>
      <c r="E250" s="19" t="s">
        <v>395</v>
      </c>
      <c r="F250" s="19" t="s">
        <v>23</v>
      </c>
      <c r="G250" s="19" t="s">
        <v>181</v>
      </c>
      <c r="H250" s="20">
        <v>41339</v>
      </c>
      <c r="I250" s="21">
        <v>11.5</v>
      </c>
      <c r="J250" s="22">
        <v>41341</v>
      </c>
      <c r="K250" s="72">
        <v>1221</v>
      </c>
      <c r="L250" s="72">
        <v>1318</v>
      </c>
      <c r="M250" s="24">
        <v>39655162.5</v>
      </c>
      <c r="N250" s="24">
        <v>17806830</v>
      </c>
      <c r="O250" s="25">
        <v>57461992.5</v>
      </c>
      <c r="P250" s="26">
        <v>0.31035520386469501</v>
      </c>
      <c r="Q250" s="26">
        <v>0.45096289090133984</v>
      </c>
      <c r="R250" s="26">
        <v>0.13112350064131076</v>
      </c>
      <c r="S250" s="27">
        <v>0.10755840459265438</v>
      </c>
    </row>
    <row r="251" spans="2:19" ht="12.5" x14ac:dyDescent="0.25">
      <c r="B251" s="18" t="s">
        <v>314</v>
      </c>
      <c r="C251" s="19" t="s">
        <v>184</v>
      </c>
      <c r="D251" s="19" t="s">
        <v>603</v>
      </c>
      <c r="E251" s="19" t="s">
        <v>202</v>
      </c>
      <c r="F251" s="19" t="s">
        <v>24</v>
      </c>
      <c r="G251" s="19" t="s">
        <v>181</v>
      </c>
      <c r="H251" s="20">
        <v>41360</v>
      </c>
      <c r="I251" s="21">
        <v>58</v>
      </c>
      <c r="J251" s="22">
        <v>41365</v>
      </c>
      <c r="K251" s="72">
        <v>8158</v>
      </c>
      <c r="L251" s="72">
        <v>8887</v>
      </c>
      <c r="M251" s="24">
        <v>626400000</v>
      </c>
      <c r="N251" s="24">
        <v>0</v>
      </c>
      <c r="O251" s="25">
        <v>626400000</v>
      </c>
      <c r="P251" s="26">
        <v>0.10256872427983539</v>
      </c>
      <c r="Q251" s="26">
        <v>0.24916090534979424</v>
      </c>
      <c r="R251" s="26">
        <v>0.50307950617283947</v>
      </c>
      <c r="S251" s="27">
        <v>0.14519086419753086</v>
      </c>
    </row>
    <row r="252" spans="2:19" ht="12.5" x14ac:dyDescent="0.25">
      <c r="B252" s="18" t="s">
        <v>396</v>
      </c>
      <c r="C252" s="19" t="s">
        <v>179</v>
      </c>
      <c r="D252" s="19" t="s">
        <v>646</v>
      </c>
      <c r="E252" s="19" t="s">
        <v>348</v>
      </c>
      <c r="F252" s="19" t="s">
        <v>23</v>
      </c>
      <c r="G252" s="19" t="s">
        <v>181</v>
      </c>
      <c r="H252" s="20">
        <v>41379</v>
      </c>
      <c r="I252" s="21">
        <v>15</v>
      </c>
      <c r="J252" s="22">
        <v>41383</v>
      </c>
      <c r="K252" s="72">
        <v>890</v>
      </c>
      <c r="L252" s="72">
        <v>961</v>
      </c>
      <c r="M252" s="24">
        <v>700000005</v>
      </c>
      <c r="N252" s="24">
        <v>0</v>
      </c>
      <c r="O252" s="25">
        <v>700000005</v>
      </c>
      <c r="P252" s="26">
        <v>2.086973870768085E-2</v>
      </c>
      <c r="Q252" s="26">
        <v>0.21189738606233138</v>
      </c>
      <c r="R252" s="26">
        <v>0.76653719754712113</v>
      </c>
      <c r="S252" s="27">
        <v>6.9567768286663337E-4</v>
      </c>
    </row>
    <row r="253" spans="2:19" ht="12.5" x14ac:dyDescent="0.25">
      <c r="B253" s="18" t="s">
        <v>397</v>
      </c>
      <c r="C253" s="19" t="s">
        <v>179</v>
      </c>
      <c r="D253" s="19" t="s">
        <v>647</v>
      </c>
      <c r="E253" s="19" t="s">
        <v>204</v>
      </c>
      <c r="F253" s="19" t="s">
        <v>24</v>
      </c>
      <c r="G253" s="19" t="s">
        <v>181</v>
      </c>
      <c r="H253" s="20">
        <v>41382</v>
      </c>
      <c r="I253" s="21">
        <v>17.5</v>
      </c>
      <c r="J253" s="22">
        <v>41386</v>
      </c>
      <c r="K253" s="72">
        <v>3776</v>
      </c>
      <c r="L253" s="72">
        <v>3963</v>
      </c>
      <c r="M253" s="24">
        <v>355490520</v>
      </c>
      <c r="N253" s="24">
        <v>0</v>
      </c>
      <c r="O253" s="25">
        <v>355490520</v>
      </c>
      <c r="P253" s="26">
        <v>0.19179686986311137</v>
      </c>
      <c r="Q253" s="26">
        <v>0.20063567535169541</v>
      </c>
      <c r="R253" s="26">
        <v>0.59189922099416914</v>
      </c>
      <c r="S253" s="27">
        <v>1.5668233791024031E-2</v>
      </c>
    </row>
    <row r="254" spans="2:19" ht="12.5" x14ac:dyDescent="0.25">
      <c r="B254" s="18" t="s">
        <v>398</v>
      </c>
      <c r="C254" s="19" t="s">
        <v>184</v>
      </c>
      <c r="D254" s="19" t="s">
        <v>584</v>
      </c>
      <c r="E254" s="19" t="s">
        <v>204</v>
      </c>
      <c r="F254" s="19" t="s">
        <v>23</v>
      </c>
      <c r="G254" s="19" t="s">
        <v>181</v>
      </c>
      <c r="H254" s="20">
        <v>41386</v>
      </c>
      <c r="I254" s="21">
        <v>18.5</v>
      </c>
      <c r="J254" s="22">
        <v>41388</v>
      </c>
      <c r="K254" s="72">
        <v>4935</v>
      </c>
      <c r="L254" s="72">
        <v>5310</v>
      </c>
      <c r="M254" s="24">
        <v>821226100</v>
      </c>
      <c r="N254" s="24">
        <v>0</v>
      </c>
      <c r="O254" s="25">
        <v>821226100</v>
      </c>
      <c r="P254" s="26">
        <v>0.14884397826086956</v>
      </c>
      <c r="Q254" s="26">
        <v>0.29556986956521741</v>
      </c>
      <c r="R254" s="26">
        <v>0.54857250000000002</v>
      </c>
      <c r="S254" s="27">
        <v>7.0136521739130432E-3</v>
      </c>
    </row>
    <row r="255" spans="2:19" ht="12.5" x14ac:dyDescent="0.25">
      <c r="B255" s="18" t="s">
        <v>385</v>
      </c>
      <c r="C255" s="19" t="s">
        <v>184</v>
      </c>
      <c r="D255" s="19" t="s">
        <v>641</v>
      </c>
      <c r="E255" s="19" t="s">
        <v>204</v>
      </c>
      <c r="F255" s="19" t="s">
        <v>24</v>
      </c>
      <c r="G255" s="19" t="s">
        <v>181</v>
      </c>
      <c r="H255" s="20">
        <v>41388</v>
      </c>
      <c r="I255" s="21">
        <v>45</v>
      </c>
      <c r="J255" s="22">
        <v>41390</v>
      </c>
      <c r="K255" s="72">
        <v>3026</v>
      </c>
      <c r="L255" s="72">
        <v>3269</v>
      </c>
      <c r="M255" s="24">
        <v>126673920</v>
      </c>
      <c r="N255" s="24">
        <v>395222535</v>
      </c>
      <c r="O255" s="25">
        <v>521896455</v>
      </c>
      <c r="P255" s="26">
        <v>0.12328643514176947</v>
      </c>
      <c r="Q255" s="26">
        <v>0.29670598176568308</v>
      </c>
      <c r="R255" s="26">
        <v>0.54130798585114526</v>
      </c>
      <c r="S255" s="27">
        <v>3.8699597241402213E-2</v>
      </c>
    </row>
    <row r="256" spans="2:19" ht="12.5" x14ac:dyDescent="0.25">
      <c r="B256" s="18" t="s">
        <v>399</v>
      </c>
      <c r="C256" s="19" t="s">
        <v>179</v>
      </c>
      <c r="D256" s="19" t="s">
        <v>588</v>
      </c>
      <c r="E256" s="19" t="s">
        <v>243</v>
      </c>
      <c r="F256" s="19" t="s">
        <v>23</v>
      </c>
      <c r="G256" s="19" t="s">
        <v>181</v>
      </c>
      <c r="H256" s="20">
        <v>41389</v>
      </c>
      <c r="I256" s="21">
        <v>17</v>
      </c>
      <c r="J256" s="22">
        <v>41393</v>
      </c>
      <c r="K256" s="72">
        <v>103359</v>
      </c>
      <c r="L256" s="72">
        <v>114335</v>
      </c>
      <c r="M256" s="24">
        <v>0</v>
      </c>
      <c r="N256" s="24">
        <v>11475000000</v>
      </c>
      <c r="O256" s="25">
        <v>11475000000</v>
      </c>
      <c r="P256" s="26">
        <v>0.16073981925925926</v>
      </c>
      <c r="Q256" s="26">
        <v>0.23057455851851852</v>
      </c>
      <c r="R256" s="26">
        <v>0.58362914222222217</v>
      </c>
      <c r="S256" s="27">
        <v>2.5056479999999999E-2</v>
      </c>
    </row>
    <row r="257" spans="2:19" ht="12.5" x14ac:dyDescent="0.25">
      <c r="B257" s="18" t="s">
        <v>400</v>
      </c>
      <c r="C257" s="19" t="s">
        <v>179</v>
      </c>
      <c r="D257" s="19" t="s">
        <v>631</v>
      </c>
      <c r="E257" s="19" t="s">
        <v>202</v>
      </c>
      <c r="F257" s="19" t="s">
        <v>23</v>
      </c>
      <c r="G257" s="19" t="s">
        <v>181</v>
      </c>
      <c r="H257" s="20">
        <v>41389</v>
      </c>
      <c r="I257" s="21">
        <v>21.7</v>
      </c>
      <c r="J257" s="22">
        <v>41393</v>
      </c>
      <c r="K257" s="72">
        <v>3655</v>
      </c>
      <c r="L257" s="72">
        <v>4096</v>
      </c>
      <c r="M257" s="24">
        <v>1132173890.3999999</v>
      </c>
      <c r="N257" s="24">
        <v>0</v>
      </c>
      <c r="O257" s="25">
        <v>1132173890.3999999</v>
      </c>
      <c r="P257" s="26">
        <v>9.4462631055919288E-2</v>
      </c>
      <c r="Q257" s="26">
        <v>0.14487493289749867</v>
      </c>
      <c r="R257" s="26">
        <v>0.40182225553644513</v>
      </c>
      <c r="S257" s="27">
        <v>0.358840180510137</v>
      </c>
    </row>
    <row r="258" spans="2:19" ht="12.5" x14ac:dyDescent="0.25">
      <c r="B258" s="18" t="s">
        <v>269</v>
      </c>
      <c r="C258" s="19" t="s">
        <v>179</v>
      </c>
      <c r="D258" s="19" t="s">
        <v>603</v>
      </c>
      <c r="E258" s="19" t="s">
        <v>204</v>
      </c>
      <c r="F258" s="19" t="s">
        <v>24</v>
      </c>
      <c r="G258" s="19" t="s">
        <v>181</v>
      </c>
      <c r="H258" s="20">
        <v>41429</v>
      </c>
      <c r="I258" s="21">
        <v>23.5</v>
      </c>
      <c r="J258" s="22">
        <v>41431</v>
      </c>
      <c r="K258" s="72">
        <v>1892</v>
      </c>
      <c r="L258" s="72">
        <v>2082</v>
      </c>
      <c r="M258" s="24">
        <v>425364100</v>
      </c>
      <c r="N258" s="24">
        <v>0</v>
      </c>
      <c r="O258" s="25">
        <v>425364100</v>
      </c>
      <c r="P258" s="26">
        <v>9.7606521739130439E-2</v>
      </c>
      <c r="Q258" s="26">
        <v>0.21499217391304348</v>
      </c>
      <c r="R258" s="26">
        <v>0.57553108695652178</v>
      </c>
      <c r="S258" s="27">
        <v>0.11187021739130434</v>
      </c>
    </row>
    <row r="259" spans="2:19" ht="12.5" x14ac:dyDescent="0.25">
      <c r="B259" s="18" t="s">
        <v>401</v>
      </c>
      <c r="C259" s="19" t="s">
        <v>179</v>
      </c>
      <c r="D259" s="19" t="s">
        <v>584</v>
      </c>
      <c r="E259" s="19" t="s">
        <v>381</v>
      </c>
      <c r="F259" s="19" t="s">
        <v>23</v>
      </c>
      <c r="G259" s="19" t="s">
        <v>181</v>
      </c>
      <c r="H259" s="20">
        <v>41472</v>
      </c>
      <c r="I259" s="21">
        <v>12.51</v>
      </c>
      <c r="J259" s="22">
        <v>41474</v>
      </c>
      <c r="K259" s="72">
        <v>1260</v>
      </c>
      <c r="L259" s="72">
        <v>1321</v>
      </c>
      <c r="M259" s="24">
        <v>364687304.13</v>
      </c>
      <c r="N259" s="24">
        <v>549999998.27999997</v>
      </c>
      <c r="O259" s="25">
        <v>914687302.40999997</v>
      </c>
      <c r="P259" s="26">
        <v>2.6374806171279609E-2</v>
      </c>
      <c r="Q259" s="26">
        <v>0.4484682432779265</v>
      </c>
      <c r="R259" s="26">
        <v>0.24915857438532565</v>
      </c>
      <c r="S259" s="27">
        <v>0.27599837616546824</v>
      </c>
    </row>
    <row r="260" spans="2:19" ht="12.5" x14ac:dyDescent="0.25">
      <c r="B260" s="18" t="s">
        <v>402</v>
      </c>
      <c r="C260" s="19" t="s">
        <v>179</v>
      </c>
      <c r="D260" s="19" t="s">
        <v>598</v>
      </c>
      <c r="E260" s="19" t="s">
        <v>339</v>
      </c>
      <c r="F260" s="19" t="s">
        <v>24</v>
      </c>
      <c r="G260" s="19" t="s">
        <v>181</v>
      </c>
      <c r="H260" s="20">
        <v>41563</v>
      </c>
      <c r="I260" s="21">
        <v>17.5</v>
      </c>
      <c r="J260" s="22">
        <v>41565</v>
      </c>
      <c r="K260" s="72">
        <v>322</v>
      </c>
      <c r="L260" s="72">
        <v>517</v>
      </c>
      <c r="M260" s="24">
        <v>523250000</v>
      </c>
      <c r="N260" s="24">
        <v>0</v>
      </c>
      <c r="O260" s="25">
        <v>523250000</v>
      </c>
      <c r="P260" s="26">
        <v>5.6367892976588632E-2</v>
      </c>
      <c r="Q260" s="26">
        <v>0.39699441471571906</v>
      </c>
      <c r="R260" s="26">
        <v>0.54663197324414714</v>
      </c>
      <c r="S260" s="27">
        <v>5.7190635451505019E-6</v>
      </c>
    </row>
    <row r="261" spans="2:19" ht="12.5" x14ac:dyDescent="0.25">
      <c r="B261" s="18" t="s">
        <v>403</v>
      </c>
      <c r="C261" s="19" t="s">
        <v>179</v>
      </c>
      <c r="D261" s="19" t="s">
        <v>614</v>
      </c>
      <c r="E261" s="19" t="s">
        <v>204</v>
      </c>
      <c r="F261" s="19" t="s">
        <v>23</v>
      </c>
      <c r="G261" s="19" t="s">
        <v>181</v>
      </c>
      <c r="H261" s="20">
        <v>41571</v>
      </c>
      <c r="I261" s="21">
        <v>18.5</v>
      </c>
      <c r="J261" s="22">
        <v>41575</v>
      </c>
      <c r="K261" s="72">
        <v>1218</v>
      </c>
      <c r="L261" s="72">
        <v>1487</v>
      </c>
      <c r="M261" s="24">
        <v>426020571.5</v>
      </c>
      <c r="N261" s="24">
        <v>78036348.5</v>
      </c>
      <c r="O261" s="25">
        <v>504056920</v>
      </c>
      <c r="P261" s="26">
        <v>8.5953662733169109E-2</v>
      </c>
      <c r="Q261" s="26">
        <v>0.40012687951987647</v>
      </c>
      <c r="R261" s="26">
        <v>0.50890766165852852</v>
      </c>
      <c r="S261" s="27">
        <v>5.0117960884258862E-3</v>
      </c>
    </row>
    <row r="262" spans="2:19" ht="12.5" x14ac:dyDescent="0.25">
      <c r="B262" s="18" t="s">
        <v>404</v>
      </c>
      <c r="C262" s="19" t="s">
        <v>179</v>
      </c>
      <c r="D262" s="19" t="s">
        <v>614</v>
      </c>
      <c r="E262" s="19" t="s">
        <v>348</v>
      </c>
      <c r="F262" s="19" t="s">
        <v>23</v>
      </c>
      <c r="G262" s="19" t="s">
        <v>181</v>
      </c>
      <c r="H262" s="20">
        <v>41572</v>
      </c>
      <c r="I262" s="21">
        <v>17.5</v>
      </c>
      <c r="J262" s="22">
        <v>41576</v>
      </c>
      <c r="K262" s="72">
        <v>1059</v>
      </c>
      <c r="L262" s="72">
        <v>1311</v>
      </c>
      <c r="M262" s="24">
        <v>309714090</v>
      </c>
      <c r="N262" s="24">
        <v>309714090</v>
      </c>
      <c r="O262" s="25">
        <v>619428180</v>
      </c>
      <c r="P262" s="26">
        <v>2.6359637851800673E-2</v>
      </c>
      <c r="Q262" s="26">
        <v>0.39001973562132741</v>
      </c>
      <c r="R262" s="26">
        <v>0.58313740666432068</v>
      </c>
      <c r="S262" s="27">
        <v>4.8321986255129689E-4</v>
      </c>
    </row>
    <row r="263" spans="2:19" ht="12.5" x14ac:dyDescent="0.25">
      <c r="B263" s="18" t="s">
        <v>405</v>
      </c>
      <c r="C263" s="19" t="s">
        <v>179</v>
      </c>
      <c r="D263" s="19" t="s">
        <v>648</v>
      </c>
      <c r="E263" s="19" t="s">
        <v>204</v>
      </c>
      <c r="F263" s="19" t="s">
        <v>23</v>
      </c>
      <c r="G263" s="19" t="s">
        <v>181</v>
      </c>
      <c r="H263" s="20">
        <v>41613</v>
      </c>
      <c r="I263" s="21">
        <v>16</v>
      </c>
      <c r="J263" s="22">
        <v>41617</v>
      </c>
      <c r="K263" s="72">
        <v>2316</v>
      </c>
      <c r="L263" s="72">
        <v>2540</v>
      </c>
      <c r="M263" s="24">
        <v>0</v>
      </c>
      <c r="N263" s="24">
        <v>541465600</v>
      </c>
      <c r="O263" s="25">
        <v>541465600</v>
      </c>
      <c r="P263" s="26">
        <v>8.8896541062801926E-2</v>
      </c>
      <c r="Q263" s="26">
        <v>0.42276189371980677</v>
      </c>
      <c r="R263" s="26">
        <v>0.48427060869565219</v>
      </c>
      <c r="S263" s="27">
        <v>4.0709565217391308E-3</v>
      </c>
    </row>
    <row r="264" spans="2:19" ht="13" thickBot="1" x14ac:dyDescent="0.3">
      <c r="B264" s="30" t="s">
        <v>406</v>
      </c>
      <c r="C264" s="31" t="s">
        <v>184</v>
      </c>
      <c r="D264" s="31" t="s">
        <v>639</v>
      </c>
      <c r="E264" s="31" t="s">
        <v>202</v>
      </c>
      <c r="F264" s="31" t="s">
        <v>24</v>
      </c>
      <c r="G264" s="31" t="s">
        <v>181</v>
      </c>
      <c r="H264" s="32">
        <v>41620</v>
      </c>
      <c r="I264" s="33">
        <v>23</v>
      </c>
      <c r="J264" s="34">
        <v>41624</v>
      </c>
      <c r="K264" s="86">
        <v>1431</v>
      </c>
      <c r="L264" s="86">
        <v>1826</v>
      </c>
      <c r="M264" s="36">
        <v>0</v>
      </c>
      <c r="N264" s="36">
        <v>2845030632</v>
      </c>
      <c r="O264" s="37">
        <v>2845030632</v>
      </c>
      <c r="P264" s="38">
        <v>1.0195034342955362E-2</v>
      </c>
      <c r="Q264" s="38">
        <v>0.24096957772228303</v>
      </c>
      <c r="R264" s="38">
        <v>0.74589074055354498</v>
      </c>
      <c r="S264" s="39">
        <v>2.9446473812166675E-3</v>
      </c>
    </row>
    <row r="265" spans="2:19" ht="13" thickTop="1" x14ac:dyDescent="0.25">
      <c r="B265" s="40" t="s">
        <v>407</v>
      </c>
      <c r="C265" s="41" t="s">
        <v>189</v>
      </c>
      <c r="D265" s="41" t="s">
        <v>613</v>
      </c>
      <c r="E265" s="41" t="s">
        <v>348</v>
      </c>
      <c r="F265" s="41" t="s">
        <v>24</v>
      </c>
      <c r="G265" s="41" t="s">
        <v>181</v>
      </c>
      <c r="H265" s="42">
        <v>41757</v>
      </c>
      <c r="I265" s="43">
        <v>2.0566666666578493</v>
      </c>
      <c r="J265" s="44">
        <v>41759</v>
      </c>
      <c r="K265" s="71">
        <v>3429</v>
      </c>
      <c r="L265" s="71">
        <v>4369</v>
      </c>
      <c r="M265" s="46">
        <v>13959899998.896816</v>
      </c>
      <c r="N265" s="46">
        <v>0</v>
      </c>
      <c r="O265" s="47">
        <v>13959899998.896816</v>
      </c>
      <c r="P265" s="48">
        <v>5.4232472710400203E-3</v>
      </c>
      <c r="Q265" s="48">
        <v>0.11538216414518598</v>
      </c>
      <c r="R265" s="48">
        <v>0.41461573676835661</v>
      </c>
      <c r="S265" s="49">
        <v>0.4645788518154173</v>
      </c>
    </row>
    <row r="266" spans="2:19" ht="13" thickBot="1" x14ac:dyDescent="0.3">
      <c r="B266" s="61" t="s">
        <v>408</v>
      </c>
      <c r="C266" s="62" t="s">
        <v>179</v>
      </c>
      <c r="D266" s="62" t="s">
        <v>618</v>
      </c>
      <c r="E266" s="62" t="s">
        <v>266</v>
      </c>
      <c r="F266" s="62" t="s">
        <v>23</v>
      </c>
      <c r="G266" s="62" t="s">
        <v>181</v>
      </c>
      <c r="H266" s="63">
        <v>41929</v>
      </c>
      <c r="I266" s="64">
        <v>27</v>
      </c>
      <c r="J266" s="65">
        <v>41933</v>
      </c>
      <c r="K266" s="87">
        <v>2570</v>
      </c>
      <c r="L266" s="87">
        <v>2922</v>
      </c>
      <c r="M266" s="67">
        <v>106442289</v>
      </c>
      <c r="N266" s="67">
        <v>311538474</v>
      </c>
      <c r="O266" s="68">
        <v>417980763</v>
      </c>
      <c r="P266" s="69">
        <v>9.5657651115393552E-2</v>
      </c>
      <c r="Q266" s="69">
        <v>0.2196801076225606</v>
      </c>
      <c r="R266" s="69">
        <v>0.20086037069605522</v>
      </c>
      <c r="S266" s="70">
        <v>0.48380187056599061</v>
      </c>
    </row>
    <row r="267" spans="2:19" ht="13" thickTop="1" x14ac:dyDescent="0.25">
      <c r="B267" s="88" t="s">
        <v>409</v>
      </c>
      <c r="C267" s="89" t="s">
        <v>210</v>
      </c>
      <c r="D267" s="74" t="s">
        <v>613</v>
      </c>
      <c r="E267" s="74" t="s">
        <v>204</v>
      </c>
      <c r="F267" s="74" t="s">
        <v>24</v>
      </c>
      <c r="G267" s="74" t="s">
        <v>181</v>
      </c>
      <c r="H267" s="90">
        <v>42121</v>
      </c>
      <c r="I267" s="91">
        <v>44.154045980711359</v>
      </c>
      <c r="J267" s="92">
        <v>42123</v>
      </c>
      <c r="K267" s="93">
        <v>956</v>
      </c>
      <c r="L267" s="93">
        <v>1850</v>
      </c>
      <c r="M267" s="94">
        <v>16107285058.799999</v>
      </c>
      <c r="N267" s="94">
        <v>0</v>
      </c>
      <c r="O267" s="95">
        <v>16107285058.799999</v>
      </c>
      <c r="P267" s="96">
        <v>3.3610785170340197E-3</v>
      </c>
      <c r="Q267" s="96">
        <v>7.7287472987341191E-2</v>
      </c>
      <c r="R267" s="97">
        <v>0.69706897761544506</v>
      </c>
      <c r="S267" s="98">
        <v>0.22228247086776307</v>
      </c>
    </row>
    <row r="268" spans="2:19" ht="12.5" x14ac:dyDescent="0.25">
      <c r="B268" s="18" t="s">
        <v>410</v>
      </c>
      <c r="C268" s="19" t="s">
        <v>179</v>
      </c>
      <c r="D268" s="19" t="s">
        <v>634</v>
      </c>
      <c r="E268" s="19" t="s">
        <v>190</v>
      </c>
      <c r="F268" s="19" t="s">
        <v>23</v>
      </c>
      <c r="G268" s="19" t="s">
        <v>181</v>
      </c>
      <c r="H268" s="20">
        <v>42157</v>
      </c>
      <c r="I268" s="21">
        <v>12.33</v>
      </c>
      <c r="J268" s="22">
        <v>42160</v>
      </c>
      <c r="K268" s="72">
        <v>3693</v>
      </c>
      <c r="L268" s="72">
        <v>4527</v>
      </c>
      <c r="M268" s="24">
        <v>0</v>
      </c>
      <c r="N268" s="24">
        <v>602800013.70000005</v>
      </c>
      <c r="O268" s="25">
        <v>602800013.70000005</v>
      </c>
      <c r="P268" s="26">
        <v>9.8221415949513266E-2</v>
      </c>
      <c r="Q268" s="26">
        <v>0.37409806195231671</v>
      </c>
      <c r="R268" s="26">
        <v>0.52148093360270609</v>
      </c>
      <c r="S268" s="27">
        <v>6.199588495463898E-3</v>
      </c>
    </row>
    <row r="269" spans="2:19" ht="12.5" x14ac:dyDescent="0.25">
      <c r="B269" s="18" t="s">
        <v>411</v>
      </c>
      <c r="C269" s="19" t="s">
        <v>179</v>
      </c>
      <c r="D269" s="19" t="s">
        <v>649</v>
      </c>
      <c r="E269" s="19" t="s">
        <v>204</v>
      </c>
      <c r="F269" s="19" t="s">
        <v>24</v>
      </c>
      <c r="G269" s="19" t="s">
        <v>412</v>
      </c>
      <c r="H269" s="20">
        <v>42269</v>
      </c>
      <c r="I269" s="21">
        <v>44</v>
      </c>
      <c r="J269" s="22">
        <v>42270</v>
      </c>
      <c r="K269" s="72">
        <v>42</v>
      </c>
      <c r="L269" s="72">
        <v>449</v>
      </c>
      <c r="M269" s="24">
        <v>396000000</v>
      </c>
      <c r="N269" s="24">
        <v>0</v>
      </c>
      <c r="O269" s="25">
        <v>396000000</v>
      </c>
      <c r="P269" s="26">
        <v>6.2837777777777779E-3</v>
      </c>
      <c r="Q269" s="26">
        <v>0.28428466666666669</v>
      </c>
      <c r="R269" s="26">
        <v>0.70496933333333334</v>
      </c>
      <c r="S269" s="27">
        <v>4.4622222222222225E-3</v>
      </c>
    </row>
    <row r="270" spans="2:19" ht="12.5" x14ac:dyDescent="0.25">
      <c r="B270" s="18" t="s">
        <v>315</v>
      </c>
      <c r="C270" s="19" t="s">
        <v>179</v>
      </c>
      <c r="D270" s="19" t="s">
        <v>629</v>
      </c>
      <c r="E270" s="19" t="s">
        <v>211</v>
      </c>
      <c r="F270" s="19" t="s">
        <v>24</v>
      </c>
      <c r="G270" s="19" t="s">
        <v>412</v>
      </c>
      <c r="H270" s="20">
        <v>42261</v>
      </c>
      <c r="I270" s="21">
        <v>3.99</v>
      </c>
      <c r="J270" s="22">
        <v>42278</v>
      </c>
      <c r="K270" s="72">
        <v>0</v>
      </c>
      <c r="L270" s="72">
        <v>1</v>
      </c>
      <c r="M270" s="24">
        <v>57932406</v>
      </c>
      <c r="N270" s="24">
        <v>0</v>
      </c>
      <c r="O270" s="25">
        <v>57932406</v>
      </c>
      <c r="P270" s="26">
        <v>0</v>
      </c>
      <c r="Q270" s="26">
        <v>0</v>
      </c>
      <c r="R270" s="26">
        <v>0</v>
      </c>
      <c r="S270" s="27">
        <v>1</v>
      </c>
    </row>
    <row r="271" spans="2:19" ht="13" thickBot="1" x14ac:dyDescent="0.3">
      <c r="B271" s="99" t="s">
        <v>200</v>
      </c>
      <c r="C271" s="100" t="s">
        <v>189</v>
      </c>
      <c r="D271" s="100" t="s">
        <v>589</v>
      </c>
      <c r="E271" s="100" t="s">
        <v>348</v>
      </c>
      <c r="F271" s="100" t="s">
        <v>24</v>
      </c>
      <c r="G271" s="62" t="s">
        <v>412</v>
      </c>
      <c r="H271" s="63">
        <v>42325</v>
      </c>
      <c r="I271" s="101">
        <v>1.8</v>
      </c>
      <c r="J271" s="65">
        <v>42327</v>
      </c>
      <c r="K271" s="87">
        <v>225</v>
      </c>
      <c r="L271" s="87">
        <v>558</v>
      </c>
      <c r="M271" s="67">
        <v>900000000</v>
      </c>
      <c r="N271" s="67">
        <v>0</v>
      </c>
      <c r="O271" s="68">
        <v>900000000</v>
      </c>
      <c r="P271" s="102">
        <v>3.6634559999999997E-2</v>
      </c>
      <c r="Q271" s="102">
        <v>0.35301729200000004</v>
      </c>
      <c r="R271" s="69">
        <v>0.25018665000000001</v>
      </c>
      <c r="S271" s="70">
        <v>0.36016149799999997</v>
      </c>
    </row>
    <row r="272" spans="2:19" ht="15" customHeight="1" thickTop="1" x14ac:dyDescent="0.25">
      <c r="B272" s="88" t="s">
        <v>379</v>
      </c>
      <c r="C272" s="103" t="s">
        <v>179</v>
      </c>
      <c r="D272" s="103" t="s">
        <v>607</v>
      </c>
      <c r="E272" s="103" t="s">
        <v>348</v>
      </c>
      <c r="F272" s="103" t="s">
        <v>24</v>
      </c>
      <c r="G272" s="74" t="s">
        <v>412</v>
      </c>
      <c r="H272" s="90">
        <v>42388</v>
      </c>
      <c r="I272" s="104">
        <v>3.78</v>
      </c>
      <c r="J272" s="92">
        <v>42402</v>
      </c>
      <c r="K272" s="93">
        <v>0</v>
      </c>
      <c r="L272" s="79">
        <v>1</v>
      </c>
      <c r="M272" s="80">
        <v>400000000.68000001</v>
      </c>
      <c r="N272" s="80">
        <v>0</v>
      </c>
      <c r="O272" s="82">
        <v>400000000.68000001</v>
      </c>
      <c r="P272" s="105">
        <v>0</v>
      </c>
      <c r="Q272" s="105">
        <v>0</v>
      </c>
      <c r="R272" s="84">
        <v>0</v>
      </c>
      <c r="S272" s="85">
        <v>1</v>
      </c>
    </row>
    <row r="273" spans="2:19" ht="12.5" x14ac:dyDescent="0.25">
      <c r="B273" s="18" t="s">
        <v>413</v>
      </c>
      <c r="C273" s="19" t="s">
        <v>210</v>
      </c>
      <c r="D273" s="19" t="s">
        <v>591</v>
      </c>
      <c r="E273" s="19" t="s">
        <v>395</v>
      </c>
      <c r="F273" s="19" t="s">
        <v>24</v>
      </c>
      <c r="G273" s="19" t="s">
        <v>412</v>
      </c>
      <c r="H273" s="20">
        <v>42439</v>
      </c>
      <c r="I273" s="21">
        <v>0.33</v>
      </c>
      <c r="J273" s="22">
        <v>42440</v>
      </c>
      <c r="K273" s="72">
        <v>0</v>
      </c>
      <c r="L273" s="72">
        <v>5</v>
      </c>
      <c r="M273" s="24">
        <v>190474337.46000001</v>
      </c>
      <c r="N273" s="24">
        <v>0</v>
      </c>
      <c r="O273" s="25">
        <v>190474337.46000001</v>
      </c>
      <c r="P273" s="26">
        <v>0</v>
      </c>
      <c r="Q273" s="26">
        <v>0</v>
      </c>
      <c r="R273" s="26">
        <v>0</v>
      </c>
      <c r="S273" s="27">
        <v>1</v>
      </c>
    </row>
    <row r="274" spans="2:19" ht="12.5" x14ac:dyDescent="0.25">
      <c r="B274" s="18" t="s">
        <v>414</v>
      </c>
      <c r="C274" s="19" t="s">
        <v>179</v>
      </c>
      <c r="D274" s="19" t="s">
        <v>581</v>
      </c>
      <c r="E274" s="19" t="s">
        <v>211</v>
      </c>
      <c r="F274" s="19" t="s">
        <v>24</v>
      </c>
      <c r="G274" s="19" t="s">
        <v>412</v>
      </c>
      <c r="H274" s="20">
        <v>42467</v>
      </c>
      <c r="I274" s="21">
        <v>2.5</v>
      </c>
      <c r="J274" s="22">
        <v>42468</v>
      </c>
      <c r="K274" s="72">
        <v>30</v>
      </c>
      <c r="L274" s="72">
        <v>407</v>
      </c>
      <c r="M274" s="24">
        <v>2600000000</v>
      </c>
      <c r="N274" s="24">
        <v>0</v>
      </c>
      <c r="O274" s="25">
        <v>2600000000</v>
      </c>
      <c r="P274" s="26">
        <v>1.8656894230769231E-3</v>
      </c>
      <c r="Q274" s="26">
        <v>0.11569919423076923</v>
      </c>
      <c r="R274" s="26">
        <v>0.47579280961538462</v>
      </c>
      <c r="S274" s="27">
        <v>0.40664230673076923</v>
      </c>
    </row>
    <row r="275" spans="2:19" ht="12.5" x14ac:dyDescent="0.25">
      <c r="B275" s="18" t="s">
        <v>415</v>
      </c>
      <c r="C275" s="19" t="s">
        <v>189</v>
      </c>
      <c r="D275" s="19" t="s">
        <v>598</v>
      </c>
      <c r="E275" s="19" t="s">
        <v>211</v>
      </c>
      <c r="F275" s="19" t="s">
        <v>24</v>
      </c>
      <c r="G275" s="19" t="s">
        <v>412</v>
      </c>
      <c r="H275" s="20">
        <v>42468</v>
      </c>
      <c r="I275" s="21">
        <v>3.24</v>
      </c>
      <c r="J275" s="22">
        <v>42485</v>
      </c>
      <c r="K275" s="72">
        <v>15</v>
      </c>
      <c r="L275" s="72">
        <v>60</v>
      </c>
      <c r="M275" s="24">
        <v>300000001.31999999</v>
      </c>
      <c r="N275" s="24">
        <v>0</v>
      </c>
      <c r="O275" s="25">
        <v>300000001.31999999</v>
      </c>
      <c r="P275" s="26">
        <v>1.586929313017511E-2</v>
      </c>
      <c r="Q275" s="26">
        <v>0.41657050256708983</v>
      </c>
      <c r="R275" s="26">
        <v>3.4478125048296254E-2</v>
      </c>
      <c r="S275" s="27">
        <v>0.53308207925443896</v>
      </c>
    </row>
    <row r="276" spans="2:19" ht="12.5" x14ac:dyDescent="0.25">
      <c r="B276" s="18" t="s">
        <v>416</v>
      </c>
      <c r="C276" s="19" t="s">
        <v>184</v>
      </c>
      <c r="D276" s="19" t="s">
        <v>584</v>
      </c>
      <c r="E276" s="19" t="s">
        <v>339</v>
      </c>
      <c r="F276" s="19" t="s">
        <v>24</v>
      </c>
      <c r="G276" s="19" t="s">
        <v>181</v>
      </c>
      <c r="H276" s="20">
        <v>42578</v>
      </c>
      <c r="I276" s="21">
        <v>18.5</v>
      </c>
      <c r="J276" s="22">
        <v>42579</v>
      </c>
      <c r="K276" s="72">
        <v>1824</v>
      </c>
      <c r="L276" s="72">
        <v>2560</v>
      </c>
      <c r="M276" s="24">
        <v>1535962500</v>
      </c>
      <c r="N276" s="24">
        <v>0</v>
      </c>
      <c r="O276" s="25">
        <v>1535962500</v>
      </c>
      <c r="P276" s="26">
        <v>9.5627353206865398E-2</v>
      </c>
      <c r="Q276" s="26">
        <v>0.35195844625112915</v>
      </c>
      <c r="R276" s="26">
        <v>0.54001554953327313</v>
      </c>
      <c r="S276" s="27">
        <v>1.239865100873231E-2</v>
      </c>
    </row>
    <row r="277" spans="2:19" ht="12.5" x14ac:dyDescent="0.25">
      <c r="B277" s="18" t="s">
        <v>405</v>
      </c>
      <c r="C277" s="19" t="s">
        <v>179</v>
      </c>
      <c r="D277" s="19" t="s">
        <v>648</v>
      </c>
      <c r="E277" s="19" t="s">
        <v>381</v>
      </c>
      <c r="F277" s="19" t="s">
        <v>24</v>
      </c>
      <c r="G277" s="19" t="s">
        <v>412</v>
      </c>
      <c r="H277" s="20">
        <v>42592</v>
      </c>
      <c r="I277" s="21">
        <v>20.5</v>
      </c>
      <c r="J277" s="22">
        <v>42598</v>
      </c>
      <c r="K277" s="72">
        <v>2</v>
      </c>
      <c r="L277" s="72">
        <v>714</v>
      </c>
      <c r="M277" s="24">
        <v>0</v>
      </c>
      <c r="N277" s="24">
        <v>1230000000</v>
      </c>
      <c r="O277" s="25">
        <v>1230000000</v>
      </c>
      <c r="P277" s="26">
        <v>3.7484999999999998E-4</v>
      </c>
      <c r="Q277" s="26">
        <v>0.33542768333333334</v>
      </c>
      <c r="R277" s="26">
        <v>0.65378511666666672</v>
      </c>
      <c r="S277" s="27">
        <v>1.0412350000000001E-2</v>
      </c>
    </row>
    <row r="278" spans="2:19" ht="12.5" x14ac:dyDescent="0.25">
      <c r="B278" s="18" t="s">
        <v>393</v>
      </c>
      <c r="C278" s="19" t="s">
        <v>179</v>
      </c>
      <c r="D278" s="19" t="s">
        <v>597</v>
      </c>
      <c r="E278" s="19" t="s">
        <v>348</v>
      </c>
      <c r="F278" s="19" t="s">
        <v>24</v>
      </c>
      <c r="G278" s="19" t="s">
        <v>412</v>
      </c>
      <c r="H278" s="20">
        <v>42639</v>
      </c>
      <c r="I278" s="21">
        <v>18.5</v>
      </c>
      <c r="J278" s="22">
        <v>42641</v>
      </c>
      <c r="K278" s="72">
        <v>1</v>
      </c>
      <c r="L278" s="72">
        <v>342</v>
      </c>
      <c r="M278" s="24">
        <v>444000000</v>
      </c>
      <c r="N278" s="24">
        <v>0</v>
      </c>
      <c r="O278" s="25">
        <v>444000000</v>
      </c>
      <c r="P278" s="26">
        <v>1.2152916666666666E-3</v>
      </c>
      <c r="Q278" s="26">
        <v>0.28609258333333332</v>
      </c>
      <c r="R278" s="26">
        <v>0.70998950000000005</v>
      </c>
      <c r="S278" s="27">
        <v>2.7026250000000002E-3</v>
      </c>
    </row>
    <row r="279" spans="2:19" ht="12.5" x14ac:dyDescent="0.25">
      <c r="B279" s="18" t="s">
        <v>392</v>
      </c>
      <c r="C279" s="19" t="s">
        <v>184</v>
      </c>
      <c r="D279" s="19" t="s">
        <v>584</v>
      </c>
      <c r="E279" s="19" t="s">
        <v>381</v>
      </c>
      <c r="F279" s="19" t="s">
        <v>24</v>
      </c>
      <c r="G279" s="19" t="s">
        <v>412</v>
      </c>
      <c r="H279" s="20">
        <v>42661</v>
      </c>
      <c r="I279" s="21">
        <v>19.649999999999999</v>
      </c>
      <c r="J279" s="22">
        <v>42667</v>
      </c>
      <c r="K279" s="72">
        <v>0</v>
      </c>
      <c r="L279" s="72">
        <v>684</v>
      </c>
      <c r="M279" s="24">
        <v>0</v>
      </c>
      <c r="N279" s="24">
        <v>1291048819.5</v>
      </c>
      <c r="O279" s="25">
        <v>1291048819.5</v>
      </c>
      <c r="P279" s="26">
        <v>0</v>
      </c>
      <c r="Q279" s="26">
        <v>0.31579354308065344</v>
      </c>
      <c r="R279" s="26">
        <v>0.68420645691934645</v>
      </c>
      <c r="S279" s="27">
        <v>0</v>
      </c>
    </row>
    <row r="280" spans="2:19" ht="12.5" x14ac:dyDescent="0.25">
      <c r="B280" s="18" t="s">
        <v>417</v>
      </c>
      <c r="C280" s="19" t="s">
        <v>179</v>
      </c>
      <c r="D280" s="19" t="s">
        <v>26</v>
      </c>
      <c r="E280" s="19" t="s">
        <v>204</v>
      </c>
      <c r="F280" s="19" t="s">
        <v>23</v>
      </c>
      <c r="G280" s="19" t="s">
        <v>181</v>
      </c>
      <c r="H280" s="20">
        <v>42669</v>
      </c>
      <c r="I280" s="21">
        <v>20</v>
      </c>
      <c r="J280" s="22">
        <v>42671</v>
      </c>
      <c r="K280" s="72">
        <v>1771</v>
      </c>
      <c r="L280" s="72">
        <v>2035</v>
      </c>
      <c r="M280" s="24">
        <v>279069780</v>
      </c>
      <c r="N280" s="24">
        <v>395127820</v>
      </c>
      <c r="O280" s="25">
        <v>674197600</v>
      </c>
      <c r="P280" s="26">
        <v>9.3510308032546618E-2</v>
      </c>
      <c r="Q280" s="26">
        <v>0.36966820649579085</v>
      </c>
      <c r="R280" s="26">
        <v>0.53033030857484598</v>
      </c>
      <c r="S280" s="27">
        <v>6.4911768968165381E-3</v>
      </c>
    </row>
    <row r="281" spans="2:19" ht="13" thickBot="1" x14ac:dyDescent="0.3">
      <c r="B281" s="99" t="s">
        <v>418</v>
      </c>
      <c r="C281" s="100" t="s">
        <v>184</v>
      </c>
      <c r="D281" s="100" t="s">
        <v>586</v>
      </c>
      <c r="E281" s="100" t="s">
        <v>190</v>
      </c>
      <c r="F281" s="100" t="s">
        <v>24</v>
      </c>
      <c r="G281" s="62" t="s">
        <v>181</v>
      </c>
      <c r="H281" s="63">
        <v>42723</v>
      </c>
      <c r="I281" s="101">
        <v>9.5</v>
      </c>
      <c r="J281" s="65">
        <v>42725</v>
      </c>
      <c r="K281" s="87">
        <v>1310</v>
      </c>
      <c r="L281" s="87">
        <v>1757</v>
      </c>
      <c r="M281" s="67">
        <v>257592186.5</v>
      </c>
      <c r="N281" s="67">
        <v>1717571452.5</v>
      </c>
      <c r="O281" s="68">
        <v>1975163639</v>
      </c>
      <c r="P281" s="102">
        <v>9.039949803369178E-2</v>
      </c>
      <c r="Q281" s="102">
        <v>0.50713993550789538</v>
      </c>
      <c r="R281" s="69">
        <v>0.39437625046316477</v>
      </c>
      <c r="S281" s="70">
        <v>8.084315995248028E-3</v>
      </c>
    </row>
    <row r="282" spans="2:19" ht="13" thickTop="1" x14ac:dyDescent="0.25">
      <c r="B282" s="106" t="s">
        <v>419</v>
      </c>
      <c r="C282" s="107" t="s">
        <v>179</v>
      </c>
      <c r="D282" s="107" t="s">
        <v>594</v>
      </c>
      <c r="E282" s="107" t="s">
        <v>190</v>
      </c>
      <c r="F282" s="107" t="s">
        <v>23</v>
      </c>
      <c r="G282" s="107" t="s">
        <v>181</v>
      </c>
      <c r="H282" s="108">
        <v>42772</v>
      </c>
      <c r="I282" s="109">
        <v>7.5</v>
      </c>
      <c r="J282" s="92">
        <v>42774</v>
      </c>
      <c r="K282" s="110">
        <v>1096</v>
      </c>
      <c r="L282" s="110">
        <v>1373</v>
      </c>
      <c r="M282" s="111">
        <v>535955055</v>
      </c>
      <c r="N282" s="111">
        <v>64128735</v>
      </c>
      <c r="O282" s="112">
        <v>600083790</v>
      </c>
      <c r="P282" s="83">
        <v>9.3400396584743584E-2</v>
      </c>
      <c r="Q282" s="83">
        <v>0.3086604509575126</v>
      </c>
      <c r="R282" s="83">
        <v>0.450424733202273</v>
      </c>
      <c r="S282" s="113">
        <v>0.14751441925547082</v>
      </c>
    </row>
    <row r="283" spans="2:19" ht="12.5" x14ac:dyDescent="0.25">
      <c r="B283" s="18" t="s">
        <v>420</v>
      </c>
      <c r="C283" s="19" t="s">
        <v>179</v>
      </c>
      <c r="D283" s="19" t="s">
        <v>26</v>
      </c>
      <c r="E283" s="19" t="s">
        <v>204</v>
      </c>
      <c r="F283" s="19" t="s">
        <v>23</v>
      </c>
      <c r="G283" s="19" t="s">
        <v>181</v>
      </c>
      <c r="H283" s="20">
        <v>42776</v>
      </c>
      <c r="I283" s="21">
        <v>19</v>
      </c>
      <c r="J283" s="22">
        <v>42780</v>
      </c>
      <c r="K283" s="72">
        <v>4616</v>
      </c>
      <c r="L283" s="72">
        <v>5042</v>
      </c>
      <c r="M283" s="24">
        <v>187272151</v>
      </c>
      <c r="N283" s="24">
        <v>690396673</v>
      </c>
      <c r="O283" s="25">
        <v>877668824</v>
      </c>
      <c r="P283" s="26">
        <v>0.10052935183214393</v>
      </c>
      <c r="Q283" s="26">
        <v>0.48025412715354693</v>
      </c>
      <c r="R283" s="26">
        <v>0.41314996509435087</v>
      </c>
      <c r="S283" s="27">
        <v>6.0665559199582549E-3</v>
      </c>
    </row>
    <row r="284" spans="2:19" ht="12.5" x14ac:dyDescent="0.25">
      <c r="B284" s="18" t="s">
        <v>421</v>
      </c>
      <c r="C284" s="19" t="s">
        <v>179</v>
      </c>
      <c r="D284" s="19" t="s">
        <v>578</v>
      </c>
      <c r="E284" s="19" t="s">
        <v>190</v>
      </c>
      <c r="F284" s="19" t="s">
        <v>24</v>
      </c>
      <c r="G284" s="19" t="s">
        <v>412</v>
      </c>
      <c r="H284" s="20">
        <v>42775</v>
      </c>
      <c r="I284" s="21">
        <v>16</v>
      </c>
      <c r="J284" s="22">
        <v>42776</v>
      </c>
      <c r="K284" s="72">
        <v>0</v>
      </c>
      <c r="L284" s="72">
        <v>396</v>
      </c>
      <c r="M284" s="24">
        <v>4070604800</v>
      </c>
      <c r="N284" s="24">
        <v>0</v>
      </c>
      <c r="O284" s="25">
        <v>4070604800</v>
      </c>
      <c r="P284" s="26">
        <v>9.2369566311128996E-5</v>
      </c>
      <c r="Q284" s="26">
        <v>0.12943539790450795</v>
      </c>
      <c r="R284" s="26">
        <v>0.68391256650608778</v>
      </c>
      <c r="S284" s="27">
        <v>0.18655966602309318</v>
      </c>
    </row>
    <row r="285" spans="2:19" ht="12.5" x14ac:dyDescent="0.25">
      <c r="B285" s="18" t="s">
        <v>422</v>
      </c>
      <c r="C285" s="19" t="s">
        <v>210</v>
      </c>
      <c r="D285" s="19" t="s">
        <v>593</v>
      </c>
      <c r="E285" s="19" t="s">
        <v>202</v>
      </c>
      <c r="F285" s="19" t="s">
        <v>24</v>
      </c>
      <c r="G285" s="19" t="s">
        <v>412</v>
      </c>
      <c r="H285" s="20">
        <v>42802</v>
      </c>
      <c r="I285" s="21">
        <v>15.798929639613231</v>
      </c>
      <c r="J285" s="22">
        <v>42804</v>
      </c>
      <c r="K285" s="72">
        <v>0</v>
      </c>
      <c r="L285" s="72">
        <v>1203</v>
      </c>
      <c r="M285" s="24">
        <v>2405053617.02</v>
      </c>
      <c r="N285" s="24">
        <v>0</v>
      </c>
      <c r="O285" s="25">
        <v>2405053617.02</v>
      </c>
      <c r="P285" s="26">
        <v>1.0287140228619933E-3</v>
      </c>
      <c r="Q285" s="26">
        <v>0.38560231035243137</v>
      </c>
      <c r="R285" s="26">
        <v>0.47038976752481998</v>
      </c>
      <c r="S285" s="27">
        <v>0.14297920809988662</v>
      </c>
    </row>
    <row r="286" spans="2:19" ht="12.5" x14ac:dyDescent="0.25">
      <c r="B286" s="18" t="s">
        <v>398</v>
      </c>
      <c r="C286" s="19" t="s">
        <v>184</v>
      </c>
      <c r="D286" s="19" t="s">
        <v>584</v>
      </c>
      <c r="E286" s="19" t="s">
        <v>211</v>
      </c>
      <c r="F286" s="19" t="s">
        <v>24</v>
      </c>
      <c r="G286" s="19" t="s">
        <v>412</v>
      </c>
      <c r="H286" s="20">
        <v>42829</v>
      </c>
      <c r="I286" s="21">
        <v>6.5</v>
      </c>
      <c r="J286" s="22">
        <v>42831</v>
      </c>
      <c r="K286" s="72">
        <v>150</v>
      </c>
      <c r="L286" s="72">
        <v>811</v>
      </c>
      <c r="M286" s="24">
        <v>833462493.5</v>
      </c>
      <c r="N286" s="24">
        <v>0</v>
      </c>
      <c r="O286" s="25">
        <v>833462493.5</v>
      </c>
      <c r="P286" s="26">
        <v>2.6108637364855819E-3</v>
      </c>
      <c r="Q286" s="26">
        <v>0.44916412126468414</v>
      </c>
      <c r="R286" s="26">
        <v>0.54812231271688294</v>
      </c>
      <c r="S286" s="27">
        <v>1.0270228194737596E-4</v>
      </c>
    </row>
    <row r="287" spans="2:19" ht="12.5" x14ac:dyDescent="0.25">
      <c r="B287" s="18" t="s">
        <v>423</v>
      </c>
      <c r="C287" s="19" t="s">
        <v>184</v>
      </c>
      <c r="D287" s="19" t="s">
        <v>580</v>
      </c>
      <c r="E287" s="19" t="s">
        <v>204</v>
      </c>
      <c r="F287" s="19" t="s">
        <v>23</v>
      </c>
      <c r="G287" s="19" t="s">
        <v>181</v>
      </c>
      <c r="H287" s="20">
        <v>42835</v>
      </c>
      <c r="I287" s="21">
        <v>21</v>
      </c>
      <c r="J287" s="22">
        <v>42836</v>
      </c>
      <c r="K287" s="72">
        <v>1517</v>
      </c>
      <c r="L287" s="72">
        <v>1753</v>
      </c>
      <c r="M287" s="24">
        <v>1323000000</v>
      </c>
      <c r="N287" s="24">
        <v>698036577</v>
      </c>
      <c r="O287" s="25">
        <v>2021036577</v>
      </c>
      <c r="P287" s="26">
        <v>6.3673746662725544E-2</v>
      </c>
      <c r="Q287" s="26">
        <v>7.6148414507393652E-2</v>
      </c>
      <c r="R287" s="26">
        <v>0.8582679540490078</v>
      </c>
      <c r="S287" s="27">
        <v>1.9098847808730183E-3</v>
      </c>
    </row>
    <row r="288" spans="2:19" ht="12.5" x14ac:dyDescent="0.25">
      <c r="B288" s="18" t="s">
        <v>349</v>
      </c>
      <c r="C288" s="19" t="s">
        <v>210</v>
      </c>
      <c r="D288" s="19" t="s">
        <v>591</v>
      </c>
      <c r="E288" s="19" t="s">
        <v>381</v>
      </c>
      <c r="F288" s="19" t="s">
        <v>24</v>
      </c>
      <c r="G288" s="19" t="s">
        <v>412</v>
      </c>
      <c r="H288" s="20">
        <v>42831</v>
      </c>
      <c r="I288" s="21">
        <v>25</v>
      </c>
      <c r="J288" s="22">
        <v>42831</v>
      </c>
      <c r="K288" s="72">
        <v>0</v>
      </c>
      <c r="L288" s="72">
        <v>157</v>
      </c>
      <c r="M288" s="24">
        <v>0</v>
      </c>
      <c r="N288" s="24">
        <v>2000000000</v>
      </c>
      <c r="O288" s="25">
        <v>2000000000</v>
      </c>
      <c r="P288" s="26">
        <v>0</v>
      </c>
      <c r="Q288" s="26">
        <v>0.19256071250000001</v>
      </c>
      <c r="R288" s="26">
        <v>0.80511428750000003</v>
      </c>
      <c r="S288" s="27">
        <v>2.3249999999999998E-3</v>
      </c>
    </row>
    <row r="289" spans="2:19" ht="12.5" x14ac:dyDescent="0.25">
      <c r="B289" s="18" t="s">
        <v>278</v>
      </c>
      <c r="C289" s="19" t="s">
        <v>179</v>
      </c>
      <c r="D289" s="19" t="s">
        <v>603</v>
      </c>
      <c r="E289" s="19" t="s">
        <v>204</v>
      </c>
      <c r="F289" s="19" t="s">
        <v>24</v>
      </c>
      <c r="G289" s="19" t="s">
        <v>412</v>
      </c>
      <c r="H289" s="20">
        <v>42879</v>
      </c>
      <c r="I289" s="21">
        <v>11</v>
      </c>
      <c r="J289" s="22">
        <v>42879</v>
      </c>
      <c r="K289" s="72">
        <v>53</v>
      </c>
      <c r="L289" s="72">
        <v>536</v>
      </c>
      <c r="M289" s="24">
        <v>1730088492</v>
      </c>
      <c r="N289" s="24">
        <v>0</v>
      </c>
      <c r="O289" s="25">
        <v>1730088492</v>
      </c>
      <c r="P289" s="26">
        <v>1.9905166793052109E-4</v>
      </c>
      <c r="Q289" s="26">
        <v>0.33419547940672623</v>
      </c>
      <c r="R289" s="26">
        <v>0.66158176665104362</v>
      </c>
      <c r="S289" s="27">
        <v>4.02370227429962E-3</v>
      </c>
    </row>
    <row r="290" spans="2:19" ht="12.5" x14ac:dyDescent="0.25">
      <c r="B290" s="18" t="s">
        <v>357</v>
      </c>
      <c r="C290" s="19" t="s">
        <v>179</v>
      </c>
      <c r="D290" s="19" t="s">
        <v>629</v>
      </c>
      <c r="E290" s="19" t="s">
        <v>204</v>
      </c>
      <c r="F290" s="19" t="s">
        <v>24</v>
      </c>
      <c r="G290" s="19" t="s">
        <v>412</v>
      </c>
      <c r="H290" s="20">
        <v>42915</v>
      </c>
      <c r="I290" s="21">
        <v>8.75</v>
      </c>
      <c r="J290" s="22">
        <v>42919</v>
      </c>
      <c r="K290" s="72">
        <v>12</v>
      </c>
      <c r="L290" s="72">
        <v>179</v>
      </c>
      <c r="M290" s="24">
        <v>952934928.75</v>
      </c>
      <c r="N290" s="24">
        <v>0</v>
      </c>
      <c r="O290" s="25">
        <v>952934928.75</v>
      </c>
      <c r="P290" s="26">
        <v>3.2091645586036556E-5</v>
      </c>
      <c r="Q290" s="26">
        <v>4.1219675724894031E-2</v>
      </c>
      <c r="R290" s="26">
        <v>0.95874823262951991</v>
      </c>
      <c r="S290" s="27">
        <v>0</v>
      </c>
    </row>
    <row r="291" spans="2:19" ht="12.5" x14ac:dyDescent="0.25">
      <c r="B291" s="18" t="s">
        <v>424</v>
      </c>
      <c r="C291" s="19" t="s">
        <v>179</v>
      </c>
      <c r="D291" s="19" t="s">
        <v>625</v>
      </c>
      <c r="E291" s="19" t="s">
        <v>204</v>
      </c>
      <c r="F291" s="19" t="s">
        <v>23</v>
      </c>
      <c r="G291" s="19" t="s">
        <v>181</v>
      </c>
      <c r="H291" s="20">
        <v>42934</v>
      </c>
      <c r="I291" s="21">
        <v>15</v>
      </c>
      <c r="J291" s="22">
        <v>42936</v>
      </c>
      <c r="K291" s="72">
        <v>4068</v>
      </c>
      <c r="L291" s="72">
        <v>4839</v>
      </c>
      <c r="M291" s="24">
        <v>3088235295</v>
      </c>
      <c r="N291" s="24">
        <v>1884470475</v>
      </c>
      <c r="O291" s="25">
        <v>4972705770</v>
      </c>
      <c r="P291" s="26">
        <v>4.7275200792959243E-2</v>
      </c>
      <c r="Q291" s="26">
        <v>0.31807122323055381</v>
      </c>
      <c r="R291" s="26">
        <v>0.62964555787178444</v>
      </c>
      <c r="S291" s="27">
        <v>5.0080181047025508E-3</v>
      </c>
    </row>
    <row r="292" spans="2:19" ht="12.5" x14ac:dyDescent="0.25">
      <c r="B292" s="18" t="s">
        <v>425</v>
      </c>
      <c r="C292" s="19" t="s">
        <v>240</v>
      </c>
      <c r="D292" s="19" t="s">
        <v>618</v>
      </c>
      <c r="E292" s="19" t="s">
        <v>266</v>
      </c>
      <c r="F292" s="19" t="s">
        <v>23</v>
      </c>
      <c r="G292" s="19" t="s">
        <v>181</v>
      </c>
      <c r="H292" s="20">
        <v>42934</v>
      </c>
      <c r="I292" s="21">
        <v>26.5</v>
      </c>
      <c r="J292" s="22">
        <v>42941</v>
      </c>
      <c r="K292" s="72">
        <v>4295</v>
      </c>
      <c r="L292" s="72">
        <v>4661</v>
      </c>
      <c r="M292" s="24">
        <v>424000000</v>
      </c>
      <c r="N292" s="24">
        <v>917562500</v>
      </c>
      <c r="O292" s="25">
        <v>1341562500</v>
      </c>
      <c r="P292" s="26">
        <v>9.5759269135802474E-2</v>
      </c>
      <c r="Q292" s="26">
        <v>0.22420246913580247</v>
      </c>
      <c r="R292" s="26">
        <v>0.67580843456790118</v>
      </c>
      <c r="S292" s="27">
        <v>4.2298271604938268E-3</v>
      </c>
    </row>
    <row r="293" spans="2:19" ht="12.5" x14ac:dyDescent="0.25">
      <c r="B293" s="18" t="s">
        <v>426</v>
      </c>
      <c r="C293" s="19" t="s">
        <v>179</v>
      </c>
      <c r="D293" s="19" t="s">
        <v>588</v>
      </c>
      <c r="E293" s="19" t="s">
        <v>190</v>
      </c>
      <c r="F293" s="19" t="s">
        <v>23</v>
      </c>
      <c r="G293" s="19" t="s">
        <v>181</v>
      </c>
      <c r="H293" s="20">
        <v>42943</v>
      </c>
      <c r="I293" s="21">
        <v>27.24</v>
      </c>
      <c r="J293" s="22">
        <v>42947</v>
      </c>
      <c r="K293" s="72">
        <v>7324</v>
      </c>
      <c r="L293" s="72">
        <v>7879</v>
      </c>
      <c r="M293" s="24">
        <v>0</v>
      </c>
      <c r="N293" s="24">
        <v>2003610960</v>
      </c>
      <c r="O293" s="25">
        <v>2003610960</v>
      </c>
      <c r="P293" s="26">
        <v>9.6732128776137266E-2</v>
      </c>
      <c r="Q293" s="26">
        <v>0.26792439568208393</v>
      </c>
      <c r="R293" s="26">
        <v>0.63158524349457534</v>
      </c>
      <c r="S293" s="27">
        <v>3.758232047203415E-3</v>
      </c>
    </row>
    <row r="294" spans="2:19" ht="12.5" x14ac:dyDescent="0.25">
      <c r="B294" s="18" t="s">
        <v>427</v>
      </c>
      <c r="C294" s="19" t="s">
        <v>179</v>
      </c>
      <c r="D294" s="19" t="s">
        <v>584</v>
      </c>
      <c r="E294" s="19" t="s">
        <v>348</v>
      </c>
      <c r="F294" s="19" t="s">
        <v>23</v>
      </c>
      <c r="G294" s="19" t="s">
        <v>181</v>
      </c>
      <c r="H294" s="20">
        <v>42943</v>
      </c>
      <c r="I294" s="21">
        <v>15.6</v>
      </c>
      <c r="J294" s="22">
        <v>42947</v>
      </c>
      <c r="K294" s="72">
        <v>776</v>
      </c>
      <c r="L294" s="72">
        <v>1017</v>
      </c>
      <c r="M294" s="24">
        <v>538538504.39999998</v>
      </c>
      <c r="N294" s="24">
        <v>250637961.59999999</v>
      </c>
      <c r="O294" s="25">
        <v>789176466</v>
      </c>
      <c r="P294" s="26">
        <v>4.0555793259045306E-2</v>
      </c>
      <c r="Q294" s="26">
        <v>0.59343803949673268</v>
      </c>
      <c r="R294" s="26">
        <v>0.24830644911806074</v>
      </c>
      <c r="S294" s="27">
        <v>0.11769971812616115</v>
      </c>
    </row>
    <row r="295" spans="2:19" ht="12.5" x14ac:dyDescent="0.25">
      <c r="B295" s="18" t="s">
        <v>428</v>
      </c>
      <c r="C295" s="19" t="s">
        <v>210</v>
      </c>
      <c r="D295" s="19" t="s">
        <v>590</v>
      </c>
      <c r="E295" s="19" t="s">
        <v>429</v>
      </c>
      <c r="F295" s="19" t="s">
        <v>24</v>
      </c>
      <c r="G295" s="19" t="s">
        <v>412</v>
      </c>
      <c r="H295" s="20">
        <v>42825</v>
      </c>
      <c r="I295" s="21">
        <v>53.78</v>
      </c>
      <c r="J295" s="22">
        <v>42951</v>
      </c>
      <c r="K295" s="72">
        <v>2</v>
      </c>
      <c r="L295" s="72">
        <v>11</v>
      </c>
      <c r="M295" s="24">
        <v>30555214.559999999</v>
      </c>
      <c r="N295" s="24">
        <v>0</v>
      </c>
      <c r="O295" s="25">
        <v>30555214.559999999</v>
      </c>
      <c r="P295" s="26">
        <v>2.4641293175065825E-2</v>
      </c>
      <c r="Q295" s="26">
        <v>0.75683971894845037</v>
      </c>
      <c r="R295" s="26">
        <v>0</v>
      </c>
      <c r="S295" s="27">
        <v>0.21851898787648374</v>
      </c>
    </row>
    <row r="296" spans="2:19" ht="12.5" x14ac:dyDescent="0.25">
      <c r="B296" s="18" t="s">
        <v>377</v>
      </c>
      <c r="C296" s="19" t="s">
        <v>179</v>
      </c>
      <c r="D296" s="19" t="s">
        <v>639</v>
      </c>
      <c r="E296" s="19" t="s">
        <v>381</v>
      </c>
      <c r="F296" s="19" t="s">
        <v>24</v>
      </c>
      <c r="G296" s="19" t="s">
        <v>412</v>
      </c>
      <c r="H296" s="20">
        <v>43005</v>
      </c>
      <c r="I296" s="21">
        <v>65</v>
      </c>
      <c r="J296" s="22">
        <v>43007</v>
      </c>
      <c r="K296" s="72">
        <v>71</v>
      </c>
      <c r="L296" s="72">
        <v>155</v>
      </c>
      <c r="M296" s="24">
        <v>1144000000</v>
      </c>
      <c r="N296" s="24">
        <v>416000000</v>
      </c>
      <c r="O296" s="25">
        <v>1560000000</v>
      </c>
      <c r="P296" s="26">
        <v>7.093333333333333E-4</v>
      </c>
      <c r="Q296" s="26">
        <v>0.33676325000000001</v>
      </c>
      <c r="R296" s="26">
        <v>0.6625274166666667</v>
      </c>
      <c r="S296" s="27">
        <v>0</v>
      </c>
    </row>
    <row r="297" spans="2:19" ht="12.5" x14ac:dyDescent="0.25">
      <c r="B297" s="18" t="s">
        <v>430</v>
      </c>
      <c r="C297" s="19" t="s">
        <v>179</v>
      </c>
      <c r="D297" s="19" t="s">
        <v>650</v>
      </c>
      <c r="E297" s="19" t="s">
        <v>431</v>
      </c>
      <c r="F297" s="19" t="s">
        <v>24</v>
      </c>
      <c r="G297" s="19" t="s">
        <v>412</v>
      </c>
      <c r="H297" s="20">
        <v>42991</v>
      </c>
      <c r="I297" s="21">
        <v>1.56</v>
      </c>
      <c r="J297" s="22">
        <v>42993</v>
      </c>
      <c r="K297" s="72">
        <v>0</v>
      </c>
      <c r="L297" s="72">
        <v>39</v>
      </c>
      <c r="M297" s="24">
        <v>0</v>
      </c>
      <c r="N297" s="24">
        <v>352358788.07999998</v>
      </c>
      <c r="O297" s="25">
        <v>352358788.07999998</v>
      </c>
      <c r="P297" s="26">
        <v>0</v>
      </c>
      <c r="Q297" s="26">
        <v>0</v>
      </c>
      <c r="R297" s="26">
        <v>0.18730907743108505</v>
      </c>
      <c r="S297" s="27">
        <v>0.81269092256891518</v>
      </c>
    </row>
    <row r="298" spans="2:19" ht="12.5" x14ac:dyDescent="0.25">
      <c r="B298" s="18" t="s">
        <v>432</v>
      </c>
      <c r="C298" s="19" t="s">
        <v>184</v>
      </c>
      <c r="D298" s="19" t="s">
        <v>580</v>
      </c>
      <c r="E298" s="19" t="s">
        <v>204</v>
      </c>
      <c r="F298" s="19" t="s">
        <v>24</v>
      </c>
      <c r="G298" s="19" t="s">
        <v>412</v>
      </c>
      <c r="H298" s="20">
        <v>42992</v>
      </c>
      <c r="I298" s="21">
        <v>27.96</v>
      </c>
      <c r="J298" s="22">
        <v>42997</v>
      </c>
      <c r="K298" s="72">
        <v>0</v>
      </c>
      <c r="L298" s="72">
        <v>145</v>
      </c>
      <c r="M298" s="24">
        <v>0</v>
      </c>
      <c r="N298" s="24">
        <v>1249622011.8</v>
      </c>
      <c r="O298" s="25">
        <v>1249622011.8</v>
      </c>
      <c r="P298" s="26">
        <v>0</v>
      </c>
      <c r="Q298" s="26">
        <v>7.5092426904692824E-2</v>
      </c>
      <c r="R298" s="26">
        <v>0.92490757309530713</v>
      </c>
      <c r="S298" s="27">
        <v>0</v>
      </c>
    </row>
    <row r="299" spans="2:19" ht="12.5" x14ac:dyDescent="0.25">
      <c r="B299" s="18" t="s">
        <v>433</v>
      </c>
      <c r="C299" s="19" t="s">
        <v>179</v>
      </c>
      <c r="D299" s="19" t="s">
        <v>592</v>
      </c>
      <c r="E299" s="19" t="s">
        <v>381</v>
      </c>
      <c r="F299" s="19" t="s">
        <v>23</v>
      </c>
      <c r="G299" s="19" t="s">
        <v>181</v>
      </c>
      <c r="H299" s="20">
        <v>42998</v>
      </c>
      <c r="I299" s="21">
        <v>9</v>
      </c>
      <c r="J299" s="22">
        <v>43006</v>
      </c>
      <c r="K299" s="72">
        <v>2573</v>
      </c>
      <c r="L299" s="72">
        <v>2940</v>
      </c>
      <c r="M299" s="24">
        <v>369000000</v>
      </c>
      <c r="N299" s="24">
        <v>778500000</v>
      </c>
      <c r="O299" s="25">
        <v>1147500000</v>
      </c>
      <c r="P299" s="26">
        <v>9.0348453537936912E-2</v>
      </c>
      <c r="Q299" s="26">
        <v>0.55473237169650469</v>
      </c>
      <c r="R299" s="26">
        <v>0.34709945780051149</v>
      </c>
      <c r="S299" s="27">
        <v>7.8197169650468887E-3</v>
      </c>
    </row>
    <row r="300" spans="2:19" ht="12.5" x14ac:dyDescent="0.25">
      <c r="B300" s="18" t="s">
        <v>434</v>
      </c>
      <c r="C300" s="19" t="s">
        <v>179</v>
      </c>
      <c r="D300" s="19" t="s">
        <v>584</v>
      </c>
      <c r="E300" s="19" t="s">
        <v>348</v>
      </c>
      <c r="F300" s="19" t="s">
        <v>24</v>
      </c>
      <c r="G300" s="19" t="s">
        <v>181</v>
      </c>
      <c r="H300" s="20">
        <v>43013</v>
      </c>
      <c r="I300" s="21">
        <v>11</v>
      </c>
      <c r="J300" s="22">
        <v>43014</v>
      </c>
      <c r="K300" s="72">
        <v>261</v>
      </c>
      <c r="L300" s="72">
        <v>426</v>
      </c>
      <c r="M300" s="24">
        <v>834482759</v>
      </c>
      <c r="N300" s="24">
        <v>41724133</v>
      </c>
      <c r="O300" s="25">
        <v>876206892</v>
      </c>
      <c r="P300" s="26">
        <v>1.5021861982797551E-2</v>
      </c>
      <c r="Q300" s="26">
        <v>0.53518100494466325</v>
      </c>
      <c r="R300" s="26">
        <v>0.31226320118924605</v>
      </c>
      <c r="S300" s="27">
        <v>0.13753393188329316</v>
      </c>
    </row>
    <row r="301" spans="2:19" ht="12.5" x14ac:dyDescent="0.25">
      <c r="B301" s="18" t="s">
        <v>435</v>
      </c>
      <c r="C301" s="19" t="s">
        <v>179</v>
      </c>
      <c r="D301" s="19" t="s">
        <v>585</v>
      </c>
      <c r="E301" s="19" t="s">
        <v>202</v>
      </c>
      <c r="F301" s="19" t="s">
        <v>24</v>
      </c>
      <c r="G301" s="19" t="s">
        <v>181</v>
      </c>
      <c r="H301" s="20">
        <v>43032</v>
      </c>
      <c r="I301" s="21">
        <v>9.5</v>
      </c>
      <c r="J301" s="22">
        <v>43033</v>
      </c>
      <c r="K301" s="72">
        <v>1030</v>
      </c>
      <c r="L301" s="72">
        <v>1288</v>
      </c>
      <c r="M301" s="24">
        <v>574997000</v>
      </c>
      <c r="N301" s="24">
        <v>111460431.5</v>
      </c>
      <c r="O301" s="25">
        <v>686457431.5</v>
      </c>
      <c r="P301" s="26">
        <v>0.10086817991179797</v>
      </c>
      <c r="Q301" s="26">
        <v>0.64801417078657397</v>
      </c>
      <c r="R301" s="26">
        <v>0.24951614707115896</v>
      </c>
      <c r="S301" s="27">
        <v>1.6015022304690975E-3</v>
      </c>
    </row>
    <row r="302" spans="2:19" ht="12.5" x14ac:dyDescent="0.25">
      <c r="B302" s="18" t="s">
        <v>436</v>
      </c>
      <c r="C302" s="19" t="s">
        <v>179</v>
      </c>
      <c r="D302" s="19" t="s">
        <v>581</v>
      </c>
      <c r="E302" s="19" t="s">
        <v>190</v>
      </c>
      <c r="F302" s="19" t="s">
        <v>24</v>
      </c>
      <c r="G302" s="19" t="s">
        <v>412</v>
      </c>
      <c r="H302" s="20">
        <v>43012</v>
      </c>
      <c r="I302" s="21">
        <v>12</v>
      </c>
      <c r="J302" s="22">
        <v>43014</v>
      </c>
      <c r="K302" s="72">
        <v>0</v>
      </c>
      <c r="L302" s="72">
        <v>76</v>
      </c>
      <c r="M302" s="24">
        <v>2640000000</v>
      </c>
      <c r="N302" s="24">
        <v>0</v>
      </c>
      <c r="O302" s="25">
        <v>2640000000</v>
      </c>
      <c r="P302" s="26">
        <v>0</v>
      </c>
      <c r="Q302" s="26">
        <v>0.17843048636363637</v>
      </c>
      <c r="R302" s="26">
        <v>0.23318181818181818</v>
      </c>
      <c r="S302" s="27">
        <v>0.5883876954545455</v>
      </c>
    </row>
    <row r="303" spans="2:19" ht="12.5" x14ac:dyDescent="0.25">
      <c r="B303" s="18" t="s">
        <v>437</v>
      </c>
      <c r="C303" s="19" t="s">
        <v>179</v>
      </c>
      <c r="D303" s="19" t="s">
        <v>651</v>
      </c>
      <c r="E303" s="19" t="s">
        <v>348</v>
      </c>
      <c r="F303" s="19" t="s">
        <v>24</v>
      </c>
      <c r="G303" s="19" t="s">
        <v>412</v>
      </c>
      <c r="H303" s="20">
        <v>43048</v>
      </c>
      <c r="I303" s="21">
        <v>8</v>
      </c>
      <c r="J303" s="22">
        <v>43052</v>
      </c>
      <c r="K303" s="72">
        <v>0</v>
      </c>
      <c r="L303" s="72">
        <v>141</v>
      </c>
      <c r="M303" s="24">
        <v>0</v>
      </c>
      <c r="N303" s="24">
        <v>444592648</v>
      </c>
      <c r="O303" s="25">
        <v>444592648</v>
      </c>
      <c r="P303" s="26">
        <v>8.9790058786577148E-5</v>
      </c>
      <c r="Q303" s="26">
        <v>0.59937971803798251</v>
      </c>
      <c r="R303" s="26">
        <v>0.40053049190323092</v>
      </c>
      <c r="S303" s="27">
        <v>0</v>
      </c>
    </row>
    <row r="304" spans="2:19" ht="12.5" x14ac:dyDescent="0.25">
      <c r="B304" s="18" t="s">
        <v>438</v>
      </c>
      <c r="C304" s="19" t="s">
        <v>179</v>
      </c>
      <c r="D304" s="19" t="s">
        <v>651</v>
      </c>
      <c r="E304" s="19" t="s">
        <v>204</v>
      </c>
      <c r="F304" s="19" t="s">
        <v>23</v>
      </c>
      <c r="G304" s="19" t="s">
        <v>181</v>
      </c>
      <c r="H304" s="20">
        <v>43083</v>
      </c>
      <c r="I304" s="21">
        <v>18</v>
      </c>
      <c r="J304" s="22">
        <v>43087</v>
      </c>
      <c r="K304" s="72">
        <v>3281</v>
      </c>
      <c r="L304" s="72">
        <v>3672</v>
      </c>
      <c r="M304" s="24">
        <v>886153842</v>
      </c>
      <c r="N304" s="24">
        <v>1096968060</v>
      </c>
      <c r="O304" s="25">
        <v>1983121902</v>
      </c>
      <c r="P304" s="26">
        <v>9.6651416517531591E-2</v>
      </c>
      <c r="Q304" s="26">
        <v>0.13584876249517025</v>
      </c>
      <c r="R304" s="26">
        <v>0.76333477716099751</v>
      </c>
      <c r="S304" s="27">
        <v>4.1650438263006184E-3</v>
      </c>
    </row>
    <row r="305" spans="2:19" ht="12.5" x14ac:dyDescent="0.25">
      <c r="B305" s="18" t="s">
        <v>341</v>
      </c>
      <c r="C305" s="19" t="s">
        <v>179</v>
      </c>
      <c r="D305" s="19" t="s">
        <v>652</v>
      </c>
      <c r="E305" s="19" t="s">
        <v>348</v>
      </c>
      <c r="F305" s="19" t="s">
        <v>24</v>
      </c>
      <c r="G305" s="19" t="s">
        <v>412</v>
      </c>
      <c r="H305" s="20">
        <v>43069</v>
      </c>
      <c r="I305" s="21">
        <v>30</v>
      </c>
      <c r="J305" s="22">
        <v>43073</v>
      </c>
      <c r="K305" s="72">
        <v>1</v>
      </c>
      <c r="L305" s="72">
        <v>40</v>
      </c>
      <c r="M305" s="24">
        <v>148140000</v>
      </c>
      <c r="N305" s="24">
        <v>0</v>
      </c>
      <c r="O305" s="25">
        <v>148140000</v>
      </c>
      <c r="P305" s="26">
        <v>0.30544673957067636</v>
      </c>
      <c r="Q305" s="26">
        <v>0</v>
      </c>
      <c r="R305" s="26">
        <v>6.0153908464965575E-3</v>
      </c>
      <c r="S305" s="27">
        <v>0.68853786958282703</v>
      </c>
    </row>
    <row r="306" spans="2:19" ht="12.5" x14ac:dyDescent="0.25">
      <c r="B306" s="51" t="s">
        <v>439</v>
      </c>
      <c r="C306" s="52" t="s">
        <v>179</v>
      </c>
      <c r="D306" s="52" t="s">
        <v>653</v>
      </c>
      <c r="E306" s="52" t="s">
        <v>339</v>
      </c>
      <c r="F306" s="52" t="s">
        <v>23</v>
      </c>
      <c r="G306" s="52" t="s">
        <v>181</v>
      </c>
      <c r="H306" s="53">
        <v>43082</v>
      </c>
      <c r="I306" s="54">
        <v>15</v>
      </c>
      <c r="J306" s="55">
        <v>43084</v>
      </c>
      <c r="K306" s="114">
        <v>6808</v>
      </c>
      <c r="L306" s="114">
        <v>7658</v>
      </c>
      <c r="M306" s="57">
        <v>655312500</v>
      </c>
      <c r="N306" s="57">
        <v>4368750000</v>
      </c>
      <c r="O306" s="58">
        <v>5024062500</v>
      </c>
      <c r="P306" s="59">
        <v>9.8186664676245566E-2</v>
      </c>
      <c r="Q306" s="59">
        <v>0.24114632132860608</v>
      </c>
      <c r="R306" s="59">
        <v>0.65514977869005409</v>
      </c>
      <c r="S306" s="60">
        <v>5.5172353050942343E-3</v>
      </c>
    </row>
    <row r="307" spans="2:19" ht="13" thickBot="1" x14ac:dyDescent="0.3">
      <c r="B307" s="115" t="s">
        <v>418</v>
      </c>
      <c r="C307" s="116" t="s">
        <v>184</v>
      </c>
      <c r="D307" s="116" t="s">
        <v>586</v>
      </c>
      <c r="E307" s="116" t="s">
        <v>204</v>
      </c>
      <c r="F307" s="116" t="s">
        <v>24</v>
      </c>
      <c r="G307" s="116" t="s">
        <v>412</v>
      </c>
      <c r="H307" s="117">
        <v>43081</v>
      </c>
      <c r="I307" s="118">
        <v>55.2</v>
      </c>
      <c r="J307" s="119">
        <v>43083</v>
      </c>
      <c r="K307" s="120">
        <v>0</v>
      </c>
      <c r="L307" s="120">
        <v>56</v>
      </c>
      <c r="M307" s="121">
        <v>0</v>
      </c>
      <c r="N307" s="121">
        <v>1040308970.4</v>
      </c>
      <c r="O307" s="122">
        <v>1040308970.4</v>
      </c>
      <c r="P307" s="123">
        <v>0</v>
      </c>
      <c r="Q307" s="123">
        <v>0.4277353969454919</v>
      </c>
      <c r="R307" s="123">
        <v>0.57226460305450799</v>
      </c>
      <c r="S307" s="124">
        <v>0</v>
      </c>
    </row>
    <row r="308" spans="2:19" ht="13" thickTop="1" x14ac:dyDescent="0.25">
      <c r="B308" s="40" t="s">
        <v>440</v>
      </c>
      <c r="C308" s="74" t="s">
        <v>179</v>
      </c>
      <c r="D308" s="74" t="s">
        <v>654</v>
      </c>
      <c r="E308" s="74" t="s">
        <v>204</v>
      </c>
      <c r="F308" s="74" t="s">
        <v>23</v>
      </c>
      <c r="G308" s="74" t="s">
        <v>181</v>
      </c>
      <c r="H308" s="75">
        <v>43209</v>
      </c>
      <c r="I308" s="76">
        <v>16.5</v>
      </c>
      <c r="J308" s="77">
        <v>43213</v>
      </c>
      <c r="K308" s="79">
        <v>1375</v>
      </c>
      <c r="L308" s="79">
        <v>1838</v>
      </c>
      <c r="M308" s="80">
        <v>341379307.5</v>
      </c>
      <c r="N308" s="80">
        <v>2377736641.5</v>
      </c>
      <c r="O308" s="82">
        <v>2719115949</v>
      </c>
      <c r="P308" s="84">
        <v>8.6834953502749654E-2</v>
      </c>
      <c r="Q308" s="84">
        <v>0.21468036153981604</v>
      </c>
      <c r="R308" s="84">
        <v>0.69621169600958421</v>
      </c>
      <c r="S308" s="85">
        <v>2.2729889478501236E-3</v>
      </c>
    </row>
    <row r="309" spans="2:19" ht="12.5" x14ac:dyDescent="0.25">
      <c r="B309" s="18" t="s">
        <v>441</v>
      </c>
      <c r="C309" s="52" t="s">
        <v>179</v>
      </c>
      <c r="D309" s="52" t="s">
        <v>654</v>
      </c>
      <c r="E309" s="52" t="s">
        <v>348</v>
      </c>
      <c r="F309" s="52" t="s">
        <v>23</v>
      </c>
      <c r="G309" s="52" t="s">
        <v>181</v>
      </c>
      <c r="H309" s="53">
        <v>43213</v>
      </c>
      <c r="I309" s="54">
        <v>23.5</v>
      </c>
      <c r="J309" s="55">
        <v>43215</v>
      </c>
      <c r="K309" s="114">
        <v>4374</v>
      </c>
      <c r="L309" s="114">
        <v>5099</v>
      </c>
      <c r="M309" s="57">
        <v>2631026465.5</v>
      </c>
      <c r="N309" s="57">
        <v>800747178</v>
      </c>
      <c r="O309" s="58">
        <v>3431773643.5</v>
      </c>
      <c r="P309" s="59">
        <v>9.7468953593005239E-2</v>
      </c>
      <c r="Q309" s="59">
        <v>0.43505761964454576</v>
      </c>
      <c r="R309" s="59">
        <v>0.46448551145532452</v>
      </c>
      <c r="S309" s="60">
        <v>2.9879153071244806E-3</v>
      </c>
    </row>
    <row r="310" spans="2:19" ht="12.5" x14ac:dyDescent="0.25">
      <c r="B310" s="51" t="s">
        <v>442</v>
      </c>
      <c r="C310" s="52" t="s">
        <v>189</v>
      </c>
      <c r="D310" s="52" t="s">
        <v>591</v>
      </c>
      <c r="E310" s="52" t="s">
        <v>190</v>
      </c>
      <c r="F310" s="52" t="s">
        <v>23</v>
      </c>
      <c r="G310" s="52" t="s">
        <v>181</v>
      </c>
      <c r="H310" s="53">
        <v>43216</v>
      </c>
      <c r="I310" s="54">
        <v>18.5</v>
      </c>
      <c r="J310" s="55">
        <v>43220</v>
      </c>
      <c r="K310" s="114">
        <v>8387</v>
      </c>
      <c r="L310" s="114">
        <v>8605</v>
      </c>
      <c r="M310" s="57">
        <v>541463439</v>
      </c>
      <c r="N310" s="57">
        <v>130991063</v>
      </c>
      <c r="O310" s="58">
        <v>672454502</v>
      </c>
      <c r="P310" s="59">
        <v>0.11714129972864151</v>
      </c>
      <c r="Q310" s="59">
        <v>0.27988361740523721</v>
      </c>
      <c r="R310" s="59">
        <v>0.60297508286612123</v>
      </c>
      <c r="S310" s="60">
        <v>0</v>
      </c>
    </row>
    <row r="311" spans="2:19" ht="12.5" x14ac:dyDescent="0.25">
      <c r="B311" s="51" t="s">
        <v>440</v>
      </c>
      <c r="C311" s="52" t="s">
        <v>179</v>
      </c>
      <c r="D311" s="52" t="s">
        <v>654</v>
      </c>
      <c r="E311" s="52" t="s">
        <v>204</v>
      </c>
      <c r="F311" s="52" t="s">
        <v>24</v>
      </c>
      <c r="G311" s="52" t="s">
        <v>412</v>
      </c>
      <c r="H311" s="53">
        <v>43439</v>
      </c>
      <c r="I311" s="54">
        <v>26</v>
      </c>
      <c r="J311" s="55">
        <v>43441</v>
      </c>
      <c r="K311" s="114">
        <v>15</v>
      </c>
      <c r="L311" s="114">
        <v>337</v>
      </c>
      <c r="M311" s="57">
        <v>312000000</v>
      </c>
      <c r="N311" s="57">
        <v>2741700000</v>
      </c>
      <c r="O311" s="58">
        <v>3053700000</v>
      </c>
      <c r="P311" s="59">
        <v>7.3839080459770119E-4</v>
      </c>
      <c r="Q311" s="59">
        <v>0.27355475521498512</v>
      </c>
      <c r="R311" s="59">
        <v>0.72570685398041723</v>
      </c>
      <c r="S311" s="60">
        <v>0</v>
      </c>
    </row>
    <row r="312" spans="2:19" ht="13" thickBot="1" x14ac:dyDescent="0.3">
      <c r="B312" s="30" t="s">
        <v>388</v>
      </c>
      <c r="C312" s="31" t="s">
        <v>179</v>
      </c>
      <c r="D312" s="31" t="s">
        <v>594</v>
      </c>
      <c r="E312" s="31" t="s">
        <v>204</v>
      </c>
      <c r="F312" s="31" t="s">
        <v>24</v>
      </c>
      <c r="G312" s="31" t="s">
        <v>412</v>
      </c>
      <c r="H312" s="32">
        <v>43447</v>
      </c>
      <c r="I312" s="33">
        <v>32</v>
      </c>
      <c r="J312" s="34">
        <v>43451</v>
      </c>
      <c r="K312" s="86">
        <v>40</v>
      </c>
      <c r="L312" s="86">
        <v>337</v>
      </c>
      <c r="M312" s="36">
        <v>992000000</v>
      </c>
      <c r="N312" s="36">
        <v>384000000</v>
      </c>
      <c r="O312" s="37">
        <v>1376000000</v>
      </c>
      <c r="P312" s="38">
        <v>1.4323720930232559E-3</v>
      </c>
      <c r="Q312" s="38">
        <v>0.59577132558139534</v>
      </c>
      <c r="R312" s="38">
        <v>0.40048467441860464</v>
      </c>
      <c r="S312" s="39">
        <v>2.3116279069767443E-3</v>
      </c>
    </row>
    <row r="313" spans="2:19" ht="13" thickTop="1" x14ac:dyDescent="0.25">
      <c r="B313" s="40" t="s">
        <v>212</v>
      </c>
      <c r="C313" s="74" t="s">
        <v>179</v>
      </c>
      <c r="D313" s="74" t="s">
        <v>643</v>
      </c>
      <c r="E313" s="74" t="s">
        <v>348</v>
      </c>
      <c r="F313" s="74" t="s">
        <v>24</v>
      </c>
      <c r="G313" s="74" t="s">
        <v>412</v>
      </c>
      <c r="H313" s="75">
        <v>43496</v>
      </c>
      <c r="I313" s="76">
        <v>33</v>
      </c>
      <c r="J313" s="77">
        <v>43500</v>
      </c>
      <c r="K313" s="79">
        <v>116</v>
      </c>
      <c r="L313" s="79">
        <v>906</v>
      </c>
      <c r="M313" s="80">
        <v>1821600000</v>
      </c>
      <c r="N313" s="80">
        <v>0</v>
      </c>
      <c r="O313" s="82">
        <v>1821600000</v>
      </c>
      <c r="P313" s="84">
        <v>1.4706340579710145E-3</v>
      </c>
      <c r="Q313" s="84">
        <v>0.53825666666666672</v>
      </c>
      <c r="R313" s="84">
        <v>0.45991653985507247</v>
      </c>
      <c r="S313" s="85">
        <v>3.5615942028985505E-4</v>
      </c>
    </row>
    <row r="314" spans="2:19" ht="12.5" x14ac:dyDescent="0.25">
      <c r="B314" s="51" t="s">
        <v>426</v>
      </c>
      <c r="C314" s="52" t="s">
        <v>179</v>
      </c>
      <c r="D314" s="52" t="s">
        <v>588</v>
      </c>
      <c r="E314" s="52" t="s">
        <v>443</v>
      </c>
      <c r="F314" s="52" t="s">
        <v>24</v>
      </c>
      <c r="G314" s="52" t="s">
        <v>412</v>
      </c>
      <c r="H314" s="53">
        <v>43522</v>
      </c>
      <c r="I314" s="54">
        <v>91</v>
      </c>
      <c r="J314" s="55">
        <v>43524</v>
      </c>
      <c r="K314" s="114">
        <v>0</v>
      </c>
      <c r="L314" s="114">
        <v>64</v>
      </c>
      <c r="M314" s="57">
        <v>0</v>
      </c>
      <c r="N314" s="57">
        <v>2516733128</v>
      </c>
      <c r="O314" s="58">
        <v>2516733128</v>
      </c>
      <c r="P314" s="59">
        <v>2.0610051746416236E-4</v>
      </c>
      <c r="Q314" s="59">
        <v>0.3046964016440602</v>
      </c>
      <c r="R314" s="59">
        <v>0.69509749783847563</v>
      </c>
      <c r="S314" s="60">
        <v>0</v>
      </c>
    </row>
    <row r="315" spans="2:19" ht="12.5" x14ac:dyDescent="0.25">
      <c r="B315" s="51" t="s">
        <v>438</v>
      </c>
      <c r="C315" s="52" t="s">
        <v>179</v>
      </c>
      <c r="D315" s="52" t="s">
        <v>651</v>
      </c>
      <c r="E315" s="52" t="s">
        <v>204</v>
      </c>
      <c r="F315" s="52" t="s">
        <v>24</v>
      </c>
      <c r="G315" s="52" t="s">
        <v>412</v>
      </c>
      <c r="H315" s="53">
        <v>43546</v>
      </c>
      <c r="I315" s="54">
        <v>21.41</v>
      </c>
      <c r="J315" s="55">
        <v>43549</v>
      </c>
      <c r="K315" s="114">
        <v>0</v>
      </c>
      <c r="L315" s="114">
        <v>118</v>
      </c>
      <c r="M315" s="57">
        <v>0</v>
      </c>
      <c r="N315" s="57">
        <v>714529225.61000001</v>
      </c>
      <c r="O315" s="58">
        <v>714529225.61000001</v>
      </c>
      <c r="P315" s="59">
        <v>0</v>
      </c>
      <c r="Q315" s="59">
        <v>0.15702803121063788</v>
      </c>
      <c r="R315" s="59">
        <v>0.82899386314718448</v>
      </c>
      <c r="S315" s="60">
        <v>1.3978105642177694E-2</v>
      </c>
    </row>
    <row r="316" spans="2:19" ht="12.5" x14ac:dyDescent="0.25">
      <c r="B316" s="51" t="s">
        <v>434</v>
      </c>
      <c r="C316" s="52" t="s">
        <v>179</v>
      </c>
      <c r="D316" s="52" t="s">
        <v>584</v>
      </c>
      <c r="E316" s="52" t="s">
        <v>204</v>
      </c>
      <c r="F316" s="52" t="s">
        <v>24</v>
      </c>
      <c r="G316" s="52" t="s">
        <v>412</v>
      </c>
      <c r="H316" s="53">
        <v>43559</v>
      </c>
      <c r="I316" s="54">
        <v>18.25</v>
      </c>
      <c r="J316" s="55">
        <v>43563</v>
      </c>
      <c r="K316" s="114">
        <v>0</v>
      </c>
      <c r="L316" s="114">
        <v>258</v>
      </c>
      <c r="M316" s="57">
        <v>0</v>
      </c>
      <c r="N316" s="57">
        <v>1106794409.25</v>
      </c>
      <c r="O316" s="58">
        <v>1106794409.25</v>
      </c>
      <c r="P316" s="59">
        <v>0</v>
      </c>
      <c r="Q316" s="59">
        <v>0.6699587075999679</v>
      </c>
      <c r="R316" s="59">
        <v>0.32134911712375908</v>
      </c>
      <c r="S316" s="60">
        <v>8.6921752762729732E-3</v>
      </c>
    </row>
    <row r="317" spans="2:19" ht="12.5" x14ac:dyDescent="0.25">
      <c r="B317" s="51" t="s">
        <v>444</v>
      </c>
      <c r="C317" s="52" t="s">
        <v>179</v>
      </c>
      <c r="D317" s="52" t="s">
        <v>593</v>
      </c>
      <c r="E317" s="52" t="s">
        <v>190</v>
      </c>
      <c r="F317" s="52" t="s">
        <v>23</v>
      </c>
      <c r="G317" s="52" t="s">
        <v>181</v>
      </c>
      <c r="H317" s="53">
        <v>43570</v>
      </c>
      <c r="I317" s="54">
        <v>12.5</v>
      </c>
      <c r="J317" s="55">
        <v>43572</v>
      </c>
      <c r="K317" s="114">
        <v>3368</v>
      </c>
      <c r="L317" s="114">
        <v>3582</v>
      </c>
      <c r="M317" s="57">
        <v>705101362.5</v>
      </c>
      <c r="N317" s="57">
        <v>0</v>
      </c>
      <c r="O317" s="58">
        <v>705101362.5</v>
      </c>
      <c r="P317" s="59">
        <v>9.6976311194838974E-2</v>
      </c>
      <c r="Q317" s="59">
        <v>0.50313528398821172</v>
      </c>
      <c r="R317" s="59">
        <v>0.39571931949924294</v>
      </c>
      <c r="S317" s="60">
        <v>4.169085317706339E-3</v>
      </c>
    </row>
    <row r="318" spans="2:19" ht="12.5" x14ac:dyDescent="0.25">
      <c r="B318" s="51" t="s">
        <v>230</v>
      </c>
      <c r="C318" s="52" t="s">
        <v>179</v>
      </c>
      <c r="D318" s="52" t="s">
        <v>597</v>
      </c>
      <c r="E318" s="52" t="s">
        <v>348</v>
      </c>
      <c r="F318" s="52" t="s">
        <v>24</v>
      </c>
      <c r="G318" s="52" t="s">
        <v>412</v>
      </c>
      <c r="H318" s="53">
        <v>43607</v>
      </c>
      <c r="I318" s="54">
        <v>39.5</v>
      </c>
      <c r="J318" s="55">
        <v>43609</v>
      </c>
      <c r="K318" s="114">
        <v>0</v>
      </c>
      <c r="L318" s="114">
        <v>172</v>
      </c>
      <c r="M318" s="57">
        <v>1066500000</v>
      </c>
      <c r="N318" s="57">
        <v>0</v>
      </c>
      <c r="O318" s="58">
        <v>1066500000</v>
      </c>
      <c r="P318" s="59">
        <v>0</v>
      </c>
      <c r="Q318" s="59">
        <v>0.54841174074074073</v>
      </c>
      <c r="R318" s="59">
        <v>0.25543455555555555</v>
      </c>
      <c r="S318" s="60">
        <v>0.19615370370370369</v>
      </c>
    </row>
    <row r="319" spans="2:19" ht="12.5" x14ac:dyDescent="0.25">
      <c r="B319" s="51" t="s">
        <v>445</v>
      </c>
      <c r="C319" s="52" t="s">
        <v>184</v>
      </c>
      <c r="D319" s="52" t="s">
        <v>591</v>
      </c>
      <c r="E319" s="52" t="s">
        <v>348</v>
      </c>
      <c r="F319" s="52" t="s">
        <v>24</v>
      </c>
      <c r="G319" s="52" t="s">
        <v>412</v>
      </c>
      <c r="H319" s="53">
        <v>43627</v>
      </c>
      <c r="I319" s="54">
        <v>46</v>
      </c>
      <c r="J319" s="55">
        <v>43629</v>
      </c>
      <c r="K319" s="114">
        <v>0</v>
      </c>
      <c r="L319" s="114">
        <v>138</v>
      </c>
      <c r="M319" s="57">
        <v>0</v>
      </c>
      <c r="N319" s="57">
        <v>2539200000</v>
      </c>
      <c r="O319" s="58">
        <v>2539200000</v>
      </c>
      <c r="P319" s="59">
        <v>0</v>
      </c>
      <c r="Q319" s="59">
        <v>0.67451798913043481</v>
      </c>
      <c r="R319" s="59">
        <v>0.32373188405797104</v>
      </c>
      <c r="S319" s="60">
        <v>1.7501268115942029E-3</v>
      </c>
    </row>
    <row r="320" spans="2:19" ht="12.5" x14ac:dyDescent="0.25">
      <c r="B320" s="51" t="s">
        <v>193</v>
      </c>
      <c r="C320" s="52" t="s">
        <v>179</v>
      </c>
      <c r="D320" s="52" t="s">
        <v>584</v>
      </c>
      <c r="E320" s="52" t="s">
        <v>204</v>
      </c>
      <c r="F320" s="52" t="s">
        <v>24</v>
      </c>
      <c r="G320" s="52" t="s">
        <v>412</v>
      </c>
      <c r="H320" s="53">
        <v>43628</v>
      </c>
      <c r="I320" s="54">
        <v>27.5</v>
      </c>
      <c r="J320" s="55">
        <v>43629</v>
      </c>
      <c r="K320" s="114">
        <v>27</v>
      </c>
      <c r="L320" s="114">
        <v>572</v>
      </c>
      <c r="M320" s="57">
        <v>3694341585</v>
      </c>
      <c r="N320" s="57">
        <v>0</v>
      </c>
      <c r="O320" s="58">
        <v>3694341585</v>
      </c>
      <c r="P320" s="59">
        <v>1.4261012087760153E-3</v>
      </c>
      <c r="Q320" s="59">
        <v>0.5096314571030659</v>
      </c>
      <c r="R320" s="59">
        <v>0.4871484819669159</v>
      </c>
      <c r="S320" s="60">
        <v>1.7939597212421818E-3</v>
      </c>
    </row>
    <row r="321" spans="2:19" ht="12.5" x14ac:dyDescent="0.25">
      <c r="B321" s="51" t="s">
        <v>440</v>
      </c>
      <c r="C321" s="52" t="s">
        <v>179</v>
      </c>
      <c r="D321" s="52" t="s">
        <v>654</v>
      </c>
      <c r="E321" s="52" t="s">
        <v>204</v>
      </c>
      <c r="F321" s="52" t="s">
        <v>24</v>
      </c>
      <c r="G321" s="52" t="s">
        <v>412</v>
      </c>
      <c r="H321" s="53">
        <v>43634</v>
      </c>
      <c r="I321" s="54">
        <v>39.5</v>
      </c>
      <c r="J321" s="55">
        <v>43637</v>
      </c>
      <c r="K321" s="114">
        <v>0</v>
      </c>
      <c r="L321" s="114">
        <v>267</v>
      </c>
      <c r="M321" s="57">
        <v>0</v>
      </c>
      <c r="N321" s="57">
        <v>2666250000</v>
      </c>
      <c r="O321" s="58">
        <v>2666250000</v>
      </c>
      <c r="P321" s="59">
        <v>0</v>
      </c>
      <c r="Q321" s="59">
        <v>0.59822416296296299</v>
      </c>
      <c r="R321" s="59">
        <v>0.40177583703703706</v>
      </c>
      <c r="S321" s="60">
        <v>0</v>
      </c>
    </row>
    <row r="322" spans="2:19" ht="12.5" x14ac:dyDescent="0.25">
      <c r="B322" s="51" t="s">
        <v>446</v>
      </c>
      <c r="C322" s="52" t="s">
        <v>179</v>
      </c>
      <c r="D322" s="52" t="s">
        <v>597</v>
      </c>
      <c r="E322" s="52" t="s">
        <v>447</v>
      </c>
      <c r="F322" s="52" t="s">
        <v>24</v>
      </c>
      <c r="G322" s="52" t="s">
        <v>181</v>
      </c>
      <c r="H322" s="53">
        <v>43641</v>
      </c>
      <c r="I322" s="54">
        <v>36</v>
      </c>
      <c r="J322" s="55">
        <v>43642</v>
      </c>
      <c r="K322" s="114">
        <v>664</v>
      </c>
      <c r="L322" s="114">
        <v>761</v>
      </c>
      <c r="M322" s="57">
        <v>831600000</v>
      </c>
      <c r="N322" s="57">
        <v>348285636</v>
      </c>
      <c r="O322" s="58">
        <v>1179885636</v>
      </c>
      <c r="P322" s="59">
        <v>6.691218931775024E-2</v>
      </c>
      <c r="Q322" s="59">
        <v>7.148899176945521E-2</v>
      </c>
      <c r="R322" s="59">
        <v>0.85996942232790807</v>
      </c>
      <c r="S322" s="60">
        <v>1.6293965848864648E-3</v>
      </c>
    </row>
    <row r="323" spans="2:19" ht="12.5" x14ac:dyDescent="0.25">
      <c r="B323" s="51" t="s">
        <v>448</v>
      </c>
      <c r="C323" s="52" t="s">
        <v>184</v>
      </c>
      <c r="D323" s="52" t="s">
        <v>653</v>
      </c>
      <c r="E323" s="52" t="s">
        <v>443</v>
      </c>
      <c r="F323" s="52" t="s">
        <v>24</v>
      </c>
      <c r="G323" s="52" t="s">
        <v>181</v>
      </c>
      <c r="H323" s="53">
        <v>43641</v>
      </c>
      <c r="I323" s="54">
        <v>30.25</v>
      </c>
      <c r="J323" s="55">
        <v>43643</v>
      </c>
      <c r="K323" s="114">
        <v>13251</v>
      </c>
      <c r="L323" s="114">
        <v>13694</v>
      </c>
      <c r="M323" s="57">
        <v>0</v>
      </c>
      <c r="N323" s="57">
        <v>7300546222.75</v>
      </c>
      <c r="O323" s="58">
        <v>7300546222.75</v>
      </c>
      <c r="P323" s="59">
        <v>0.20642952852674615</v>
      </c>
      <c r="Q323" s="59">
        <v>0.32478022502086895</v>
      </c>
      <c r="R323" s="59">
        <v>0.45530170747935084</v>
      </c>
      <c r="S323" s="60">
        <v>1.3488538973034064E-2</v>
      </c>
    </row>
    <row r="324" spans="2:19" ht="12.5" x14ac:dyDescent="0.25">
      <c r="B324" s="51" t="s">
        <v>449</v>
      </c>
      <c r="C324" s="52" t="s">
        <v>179</v>
      </c>
      <c r="D324" s="52" t="s">
        <v>584</v>
      </c>
      <c r="E324" s="52" t="s">
        <v>243</v>
      </c>
      <c r="F324" s="52" t="s">
        <v>23</v>
      </c>
      <c r="G324" s="52" t="s">
        <v>181</v>
      </c>
      <c r="H324" s="53">
        <v>43623</v>
      </c>
      <c r="I324" s="54">
        <v>15.65</v>
      </c>
      <c r="J324" s="55">
        <v>43644</v>
      </c>
      <c r="K324" s="114">
        <v>21595</v>
      </c>
      <c r="L324" s="114">
        <v>22695</v>
      </c>
      <c r="M324" s="57">
        <v>0</v>
      </c>
      <c r="N324" s="57">
        <v>3744278776.0000005</v>
      </c>
      <c r="O324" s="58">
        <v>3744278776.0000005</v>
      </c>
      <c r="P324" s="59">
        <v>0.16386312887082957</v>
      </c>
      <c r="Q324" s="59">
        <v>0.43233909035463336</v>
      </c>
      <c r="R324" s="59">
        <v>0.39339634218517922</v>
      </c>
      <c r="S324" s="60">
        <v>1.0401438589357857E-2</v>
      </c>
    </row>
    <row r="325" spans="2:19" ht="12.5" x14ac:dyDescent="0.25">
      <c r="B325" s="51" t="s">
        <v>345</v>
      </c>
      <c r="C325" s="52" t="s">
        <v>179</v>
      </c>
      <c r="D325" s="52" t="s">
        <v>584</v>
      </c>
      <c r="E325" s="52" t="s">
        <v>204</v>
      </c>
      <c r="F325" s="52" t="s">
        <v>24</v>
      </c>
      <c r="G325" s="52" t="s">
        <v>412</v>
      </c>
      <c r="H325" s="53">
        <v>43627</v>
      </c>
      <c r="I325" s="54">
        <v>18.75</v>
      </c>
      <c r="J325" s="55">
        <v>43648</v>
      </c>
      <c r="K325" s="114">
        <v>144</v>
      </c>
      <c r="L325" s="114">
        <v>664</v>
      </c>
      <c r="M325" s="57">
        <v>1875000000</v>
      </c>
      <c r="N325" s="57">
        <v>624999993.75</v>
      </c>
      <c r="O325" s="58">
        <v>2499999993.75</v>
      </c>
      <c r="P325" s="59">
        <v>6.8671725171679313E-3</v>
      </c>
      <c r="Q325" s="59">
        <v>0.52464667631161666</v>
      </c>
      <c r="R325" s="59">
        <v>0.46655523116638808</v>
      </c>
      <c r="S325" s="60">
        <v>1.9309200048273001E-3</v>
      </c>
    </row>
    <row r="326" spans="2:19" ht="12.5" x14ac:dyDescent="0.25">
      <c r="B326" s="51" t="s">
        <v>268</v>
      </c>
      <c r="C326" s="52" t="s">
        <v>179</v>
      </c>
      <c r="D326" s="52" t="s">
        <v>655</v>
      </c>
      <c r="E326" s="52" t="s">
        <v>348</v>
      </c>
      <c r="F326" s="52" t="s">
        <v>24</v>
      </c>
      <c r="G326" s="52" t="s">
        <v>412</v>
      </c>
      <c r="H326" s="53">
        <v>43663</v>
      </c>
      <c r="I326" s="54">
        <v>1.1000000000000001</v>
      </c>
      <c r="J326" s="55">
        <v>43665</v>
      </c>
      <c r="K326" s="114">
        <v>2</v>
      </c>
      <c r="L326" s="114">
        <v>381</v>
      </c>
      <c r="M326" s="57">
        <v>445500000.00000006</v>
      </c>
      <c r="N326" s="57">
        <v>0</v>
      </c>
      <c r="O326" s="58">
        <v>445500000.00000006</v>
      </c>
      <c r="P326" s="59">
        <v>1.930791851851852E-2</v>
      </c>
      <c r="Q326" s="59">
        <v>0.66594965925925931</v>
      </c>
      <c r="R326" s="59">
        <v>0.16138789382716048</v>
      </c>
      <c r="S326" s="60">
        <v>0.15335452839506172</v>
      </c>
    </row>
    <row r="327" spans="2:19" ht="12.5" x14ac:dyDescent="0.25">
      <c r="B327" s="51" t="s">
        <v>426</v>
      </c>
      <c r="C327" s="52" t="s">
        <v>179</v>
      </c>
      <c r="D327" s="52" t="s">
        <v>588</v>
      </c>
      <c r="E327" s="52" t="s">
        <v>243</v>
      </c>
      <c r="F327" s="52" t="s">
        <v>24</v>
      </c>
      <c r="G327" s="52" t="s">
        <v>412</v>
      </c>
      <c r="H327" s="53">
        <v>43664</v>
      </c>
      <c r="I327" s="54">
        <v>88</v>
      </c>
      <c r="J327" s="55">
        <v>43668</v>
      </c>
      <c r="K327" s="114">
        <v>0</v>
      </c>
      <c r="L327" s="114">
        <v>520</v>
      </c>
      <c r="M327" s="57">
        <v>0</v>
      </c>
      <c r="N327" s="57">
        <v>7390103600</v>
      </c>
      <c r="O327" s="58">
        <v>7390103600</v>
      </c>
      <c r="P327" s="59">
        <v>2.0243288605588696E-5</v>
      </c>
      <c r="Q327" s="59">
        <v>0.27353823510674463</v>
      </c>
      <c r="R327" s="59">
        <v>0.72644152160464981</v>
      </c>
      <c r="S327" s="60">
        <v>0</v>
      </c>
    </row>
    <row r="328" spans="2:19" ht="12.5" x14ac:dyDescent="0.25">
      <c r="B328" s="51" t="s">
        <v>441</v>
      </c>
      <c r="C328" s="52" t="s">
        <v>179</v>
      </c>
      <c r="D328" s="52" t="s">
        <v>587</v>
      </c>
      <c r="E328" s="52" t="s">
        <v>348</v>
      </c>
      <c r="F328" s="52" t="s">
        <v>24</v>
      </c>
      <c r="G328" s="52" t="s">
        <v>412</v>
      </c>
      <c r="H328" s="53">
        <v>43670</v>
      </c>
      <c r="I328" s="54">
        <v>42.5</v>
      </c>
      <c r="J328" s="55">
        <v>43672</v>
      </c>
      <c r="K328" s="114">
        <v>0</v>
      </c>
      <c r="L328" s="114">
        <v>474</v>
      </c>
      <c r="M328" s="57">
        <v>2664495000</v>
      </c>
      <c r="N328" s="57">
        <v>0</v>
      </c>
      <c r="O328" s="58">
        <v>2664495000</v>
      </c>
      <c r="P328" s="59">
        <v>0</v>
      </c>
      <c r="Q328" s="59">
        <v>0.36130345806616265</v>
      </c>
      <c r="R328" s="59">
        <v>0.52997097010878236</v>
      </c>
      <c r="S328" s="60">
        <v>0.10872557182505503</v>
      </c>
    </row>
    <row r="329" spans="2:19" ht="12.5" x14ac:dyDescent="0.25">
      <c r="B329" s="51" t="s">
        <v>419</v>
      </c>
      <c r="C329" s="52" t="s">
        <v>179</v>
      </c>
      <c r="D329" s="52" t="s">
        <v>643</v>
      </c>
      <c r="E329" s="52" t="s">
        <v>348</v>
      </c>
      <c r="F329" s="52" t="s">
        <v>24</v>
      </c>
      <c r="G329" s="52" t="s">
        <v>412</v>
      </c>
      <c r="H329" s="53">
        <v>43671</v>
      </c>
      <c r="I329" s="54">
        <v>15</v>
      </c>
      <c r="J329" s="55">
        <v>43675</v>
      </c>
      <c r="K329" s="114">
        <v>0</v>
      </c>
      <c r="L329" s="114">
        <v>942</v>
      </c>
      <c r="M329" s="57">
        <v>532500000</v>
      </c>
      <c r="N329" s="57">
        <v>300000000</v>
      </c>
      <c r="O329" s="58">
        <v>832500000</v>
      </c>
      <c r="P329" s="59">
        <v>3.6036036036036037E-4</v>
      </c>
      <c r="Q329" s="59">
        <v>0.49053855855855855</v>
      </c>
      <c r="R329" s="59">
        <v>0.44159261261261262</v>
      </c>
      <c r="S329" s="60">
        <v>6.7508468468468474E-2</v>
      </c>
    </row>
    <row r="330" spans="2:19" ht="12.5" x14ac:dyDescent="0.25">
      <c r="B330" s="51" t="s">
        <v>450</v>
      </c>
      <c r="C330" s="52" t="s">
        <v>184</v>
      </c>
      <c r="D330" s="52" t="s">
        <v>591</v>
      </c>
      <c r="E330" s="52" t="s">
        <v>190</v>
      </c>
      <c r="F330" s="52" t="s">
        <v>24</v>
      </c>
      <c r="G330" s="52" t="s">
        <v>412</v>
      </c>
      <c r="H330" s="53">
        <v>43675</v>
      </c>
      <c r="I330" s="54">
        <v>13.33</v>
      </c>
      <c r="J330" s="55">
        <v>43677</v>
      </c>
      <c r="K330" s="114">
        <v>0</v>
      </c>
      <c r="L330" s="114">
        <v>3632</v>
      </c>
      <c r="M330" s="57">
        <v>1247688000</v>
      </c>
      <c r="N330" s="57">
        <v>0</v>
      </c>
      <c r="O330" s="58">
        <v>1247688000</v>
      </c>
      <c r="P330" s="59">
        <v>0</v>
      </c>
      <c r="Q330" s="59">
        <v>0.65372928418803422</v>
      </c>
      <c r="R330" s="59">
        <v>2.7471153846153847E-2</v>
      </c>
      <c r="S330" s="60">
        <v>0.318799561965812</v>
      </c>
    </row>
    <row r="331" spans="2:19" ht="12.5" x14ac:dyDescent="0.25">
      <c r="B331" s="51" t="s">
        <v>439</v>
      </c>
      <c r="C331" s="52" t="s">
        <v>179</v>
      </c>
      <c r="D331" s="52" t="s">
        <v>653</v>
      </c>
      <c r="E331" s="52" t="s">
        <v>266</v>
      </c>
      <c r="F331" s="52" t="s">
        <v>24</v>
      </c>
      <c r="G331" s="52" t="s">
        <v>181</v>
      </c>
      <c r="H331" s="53">
        <v>43669</v>
      </c>
      <c r="I331" s="54">
        <v>24.5</v>
      </c>
      <c r="J331" s="55">
        <v>43671</v>
      </c>
      <c r="K331" s="114">
        <v>7348</v>
      </c>
      <c r="L331" s="114">
        <v>8282</v>
      </c>
      <c r="M331" s="57">
        <v>0</v>
      </c>
      <c r="N331" s="57">
        <v>9633093750</v>
      </c>
      <c r="O331" s="58">
        <v>9633093750</v>
      </c>
      <c r="P331" s="59">
        <v>9.6246345573040848E-2</v>
      </c>
      <c r="Q331" s="59">
        <v>0.4537832052137975</v>
      </c>
      <c r="R331" s="59">
        <v>0.44569897313622636</v>
      </c>
      <c r="S331" s="60">
        <v>4.2714760769353042E-3</v>
      </c>
    </row>
    <row r="332" spans="2:19" ht="12.5" x14ac:dyDescent="0.25">
      <c r="B332" s="51" t="s">
        <v>322</v>
      </c>
      <c r="C332" s="52" t="s">
        <v>179</v>
      </c>
      <c r="D332" s="52" t="s">
        <v>655</v>
      </c>
      <c r="E332" s="52" t="s">
        <v>348</v>
      </c>
      <c r="F332" s="52" t="s">
        <v>24</v>
      </c>
      <c r="G332" s="52" t="s">
        <v>412</v>
      </c>
      <c r="H332" s="53">
        <v>43720</v>
      </c>
      <c r="I332" s="54">
        <v>10</v>
      </c>
      <c r="J332" s="55">
        <v>43724</v>
      </c>
      <c r="K332" s="114">
        <v>0</v>
      </c>
      <c r="L332" s="114">
        <v>761</v>
      </c>
      <c r="M332" s="57">
        <v>405000000</v>
      </c>
      <c r="N332" s="57">
        <v>0</v>
      </c>
      <c r="O332" s="58">
        <v>405000000</v>
      </c>
      <c r="P332" s="59">
        <v>0</v>
      </c>
      <c r="Q332" s="59">
        <v>0.82014575308641979</v>
      </c>
      <c r="R332" s="59">
        <v>0.11024691358024691</v>
      </c>
      <c r="S332" s="60">
        <v>6.9607333333333327E-2</v>
      </c>
    </row>
    <row r="333" spans="2:19" ht="12.5" x14ac:dyDescent="0.25">
      <c r="B333" s="51" t="s">
        <v>451</v>
      </c>
      <c r="C333" s="52" t="s">
        <v>189</v>
      </c>
      <c r="D333" s="52" t="s">
        <v>591</v>
      </c>
      <c r="E333" s="52" t="s">
        <v>348</v>
      </c>
      <c r="F333" s="52" t="s">
        <v>24</v>
      </c>
      <c r="G333" s="52" t="s">
        <v>412</v>
      </c>
      <c r="H333" s="53">
        <v>43727</v>
      </c>
      <c r="I333" s="54">
        <v>8.25</v>
      </c>
      <c r="J333" s="55">
        <v>43731</v>
      </c>
      <c r="K333" s="114">
        <v>0</v>
      </c>
      <c r="L333" s="114">
        <v>671</v>
      </c>
      <c r="M333" s="57">
        <v>521812500</v>
      </c>
      <c r="N333" s="57">
        <v>521812500</v>
      </c>
      <c r="O333" s="58">
        <v>1043625000</v>
      </c>
      <c r="P333" s="59">
        <v>1.5352332015810277E-3</v>
      </c>
      <c r="Q333" s="59">
        <v>0.64222959683794467</v>
      </c>
      <c r="R333" s="59">
        <v>0.32960474308300397</v>
      </c>
      <c r="S333" s="60">
        <v>2.6630426877470356E-2</v>
      </c>
    </row>
    <row r="334" spans="2:19" ht="12.5" x14ac:dyDescent="0.25">
      <c r="B334" s="51" t="s">
        <v>452</v>
      </c>
      <c r="C334" s="52" t="s">
        <v>179</v>
      </c>
      <c r="D334" s="52" t="s">
        <v>597</v>
      </c>
      <c r="E334" s="52" t="s">
        <v>348</v>
      </c>
      <c r="F334" s="52" t="s">
        <v>24</v>
      </c>
      <c r="G334" s="52" t="s">
        <v>412</v>
      </c>
      <c r="H334" s="53">
        <v>43725</v>
      </c>
      <c r="I334" s="54">
        <v>62</v>
      </c>
      <c r="J334" s="55">
        <v>43727</v>
      </c>
      <c r="K334" s="114">
        <v>0</v>
      </c>
      <c r="L334" s="114">
        <v>1797</v>
      </c>
      <c r="M334" s="57">
        <v>362700000</v>
      </c>
      <c r="N334" s="57">
        <v>0</v>
      </c>
      <c r="O334" s="58">
        <v>362700000</v>
      </c>
      <c r="P334" s="59">
        <v>1.0085470085470086E-3</v>
      </c>
      <c r="Q334" s="59">
        <v>0.82035811965811967</v>
      </c>
      <c r="R334" s="59">
        <v>0.11709401709401709</v>
      </c>
      <c r="S334" s="60">
        <v>6.1539316239316237E-2</v>
      </c>
    </row>
    <row r="335" spans="2:19" ht="12.5" x14ac:dyDescent="0.25">
      <c r="B335" s="51" t="s">
        <v>427</v>
      </c>
      <c r="C335" s="52" t="s">
        <v>179</v>
      </c>
      <c r="D335" s="52" t="s">
        <v>584</v>
      </c>
      <c r="E335" s="52" t="s">
        <v>381</v>
      </c>
      <c r="F335" s="52" t="s">
        <v>24</v>
      </c>
      <c r="G335" s="52" t="s">
        <v>412</v>
      </c>
      <c r="H335" s="53">
        <v>43733</v>
      </c>
      <c r="I335" s="54">
        <v>30</v>
      </c>
      <c r="J335" s="55">
        <v>43735</v>
      </c>
      <c r="K335" s="114">
        <v>148</v>
      </c>
      <c r="L335" s="114">
        <v>358</v>
      </c>
      <c r="M335" s="57">
        <v>830769240</v>
      </c>
      <c r="N335" s="57">
        <v>0</v>
      </c>
      <c r="O335" s="58">
        <v>830769240</v>
      </c>
      <c r="P335" s="59">
        <v>1.1244638763948458E-3</v>
      </c>
      <c r="Q335" s="59">
        <v>0.64772701502525543</v>
      </c>
      <c r="R335" s="59">
        <v>0.35114852109834976</v>
      </c>
      <c r="S335" s="60">
        <v>0</v>
      </c>
    </row>
    <row r="336" spans="2:19" ht="12.5" x14ac:dyDescent="0.25">
      <c r="B336" s="51" t="s">
        <v>295</v>
      </c>
      <c r="C336" s="52" t="s">
        <v>179</v>
      </c>
      <c r="D336" s="52" t="s">
        <v>655</v>
      </c>
      <c r="E336" s="52" t="s">
        <v>348</v>
      </c>
      <c r="F336" s="52" t="s">
        <v>24</v>
      </c>
      <c r="G336" s="52" t="s">
        <v>412</v>
      </c>
      <c r="H336" s="53">
        <v>43732</v>
      </c>
      <c r="I336" s="54">
        <v>36.25</v>
      </c>
      <c r="J336" s="55">
        <v>43734</v>
      </c>
      <c r="K336" s="114">
        <v>0</v>
      </c>
      <c r="L336" s="114">
        <v>889</v>
      </c>
      <c r="M336" s="57">
        <v>978750000</v>
      </c>
      <c r="N336" s="57">
        <v>0</v>
      </c>
      <c r="O336" s="58">
        <v>978750000</v>
      </c>
      <c r="P336" s="59">
        <v>0</v>
      </c>
      <c r="Q336" s="59">
        <v>0.66978566666666661</v>
      </c>
      <c r="R336" s="59">
        <v>0.20166666666666666</v>
      </c>
      <c r="S336" s="60">
        <v>0.12854766666666667</v>
      </c>
    </row>
    <row r="337" spans="2:19" ht="12.5" x14ac:dyDescent="0.25">
      <c r="B337" s="51" t="s">
        <v>330</v>
      </c>
      <c r="C337" s="52" t="s">
        <v>179</v>
      </c>
      <c r="D337" s="52" t="s">
        <v>655</v>
      </c>
      <c r="E337" s="52" t="s">
        <v>348</v>
      </c>
      <c r="F337" s="52" t="s">
        <v>24</v>
      </c>
      <c r="G337" s="52" t="s">
        <v>412</v>
      </c>
      <c r="H337" s="53">
        <v>43718</v>
      </c>
      <c r="I337" s="54">
        <v>2.65</v>
      </c>
      <c r="J337" s="55">
        <v>43752</v>
      </c>
      <c r="K337" s="114">
        <v>0</v>
      </c>
      <c r="L337" s="114">
        <v>581</v>
      </c>
      <c r="M337" s="57">
        <v>560057625</v>
      </c>
      <c r="N337" s="57">
        <v>0</v>
      </c>
      <c r="O337" s="58">
        <v>560057625</v>
      </c>
      <c r="P337" s="59">
        <v>3.9135526455871391E-3</v>
      </c>
      <c r="Q337" s="59">
        <v>0.47377299880525686</v>
      </c>
      <c r="R337" s="59">
        <v>0.15100507470101848</v>
      </c>
      <c r="S337" s="60">
        <v>0.37130837384813753</v>
      </c>
    </row>
    <row r="338" spans="2:19" ht="12.5" x14ac:dyDescent="0.25">
      <c r="B338" s="51" t="s">
        <v>453</v>
      </c>
      <c r="C338" s="52" t="s">
        <v>179</v>
      </c>
      <c r="D338" s="52" t="s">
        <v>640</v>
      </c>
      <c r="E338" s="52" t="s">
        <v>204</v>
      </c>
      <c r="F338" s="52" t="s">
        <v>23</v>
      </c>
      <c r="G338" s="52" t="s">
        <v>181</v>
      </c>
      <c r="H338" s="53">
        <v>43746</v>
      </c>
      <c r="I338" s="54">
        <v>24</v>
      </c>
      <c r="J338" s="55">
        <v>43748</v>
      </c>
      <c r="K338" s="114">
        <v>26986</v>
      </c>
      <c r="L338" s="114">
        <v>27872</v>
      </c>
      <c r="M338" s="57">
        <v>453471888</v>
      </c>
      <c r="N338" s="57">
        <v>1787377536</v>
      </c>
      <c r="O338" s="58">
        <v>2240849424</v>
      </c>
      <c r="P338" s="59">
        <v>0.12756181833513555</v>
      </c>
      <c r="Q338" s="59">
        <v>0.56323525110119022</v>
      </c>
      <c r="R338" s="59">
        <v>0.30499752305768485</v>
      </c>
      <c r="S338" s="60">
        <v>4.2054075059893324E-3</v>
      </c>
    </row>
    <row r="339" spans="2:19" ht="12.5" x14ac:dyDescent="0.25">
      <c r="B339" s="51" t="s">
        <v>242</v>
      </c>
      <c r="C339" s="52" t="s">
        <v>179</v>
      </c>
      <c r="D339" s="52" t="s">
        <v>591</v>
      </c>
      <c r="E339" s="52" t="s">
        <v>443</v>
      </c>
      <c r="F339" s="52" t="s">
        <v>24</v>
      </c>
      <c r="G339" s="52" t="s">
        <v>181</v>
      </c>
      <c r="H339" s="53">
        <v>43755</v>
      </c>
      <c r="I339" s="54">
        <v>44.05</v>
      </c>
      <c r="J339" s="55">
        <v>43759</v>
      </c>
      <c r="K339" s="114">
        <v>29222</v>
      </c>
      <c r="L339" s="114">
        <v>30039</v>
      </c>
      <c r="M339" s="57">
        <v>0</v>
      </c>
      <c r="N339" s="57">
        <v>5836921764.8499994</v>
      </c>
      <c r="O339" s="58">
        <v>5836921764.8499994</v>
      </c>
      <c r="P339" s="59">
        <v>0.31500656453414894</v>
      </c>
      <c r="Q339" s="59">
        <v>0.37245822452031252</v>
      </c>
      <c r="R339" s="59">
        <v>0.30210823167428835</v>
      </c>
      <c r="S339" s="60">
        <v>9.0145227861131334E-3</v>
      </c>
    </row>
    <row r="340" spans="2:19" ht="12.5" x14ac:dyDescent="0.25">
      <c r="B340" s="51" t="s">
        <v>454</v>
      </c>
      <c r="C340" s="52" t="s">
        <v>179</v>
      </c>
      <c r="D340" s="52" t="s">
        <v>603</v>
      </c>
      <c r="E340" s="52" t="s">
        <v>348</v>
      </c>
      <c r="F340" s="52" t="s">
        <v>24</v>
      </c>
      <c r="G340" s="52" t="s">
        <v>412</v>
      </c>
      <c r="H340" s="53">
        <v>43760</v>
      </c>
      <c r="I340" s="54">
        <v>22.5</v>
      </c>
      <c r="J340" s="55">
        <v>43762</v>
      </c>
      <c r="K340" s="114">
        <v>0</v>
      </c>
      <c r="L340" s="114">
        <v>988</v>
      </c>
      <c r="M340" s="57">
        <v>637875000</v>
      </c>
      <c r="N340" s="57">
        <v>0</v>
      </c>
      <c r="O340" s="58">
        <v>637875000</v>
      </c>
      <c r="P340" s="59">
        <v>0</v>
      </c>
      <c r="Q340" s="59">
        <v>0.38003679012345681</v>
      </c>
      <c r="R340" s="59">
        <v>0.18307904761904761</v>
      </c>
      <c r="S340" s="60">
        <v>0.4368841622574956</v>
      </c>
    </row>
    <row r="341" spans="2:19" ht="12.5" x14ac:dyDescent="0.25">
      <c r="B341" s="51" t="s">
        <v>455</v>
      </c>
      <c r="C341" s="52" t="s">
        <v>179</v>
      </c>
      <c r="D341" s="52" t="s">
        <v>603</v>
      </c>
      <c r="E341" s="52" t="s">
        <v>190</v>
      </c>
      <c r="F341" s="52" t="s">
        <v>24</v>
      </c>
      <c r="G341" s="52" t="s">
        <v>181</v>
      </c>
      <c r="H341" s="53">
        <v>43766</v>
      </c>
      <c r="I341" s="54">
        <v>19</v>
      </c>
      <c r="J341" s="55">
        <v>43768</v>
      </c>
      <c r="K341" s="114">
        <v>1087</v>
      </c>
      <c r="L341" s="114">
        <v>1329</v>
      </c>
      <c r="M341" s="57">
        <v>863550000</v>
      </c>
      <c r="N341" s="57">
        <v>0</v>
      </c>
      <c r="O341" s="58">
        <v>863550000</v>
      </c>
      <c r="P341" s="59">
        <v>9.2730434782608701E-2</v>
      </c>
      <c r="Q341" s="59">
        <v>0.56746115217391302</v>
      </c>
      <c r="R341" s="59">
        <v>0.28455195652173915</v>
      </c>
      <c r="S341" s="60">
        <v>5.5256456521739133E-2</v>
      </c>
    </row>
    <row r="342" spans="2:19" ht="12.5" x14ac:dyDescent="0.25">
      <c r="B342" s="51" t="s">
        <v>262</v>
      </c>
      <c r="C342" s="52" t="s">
        <v>179</v>
      </c>
      <c r="D342" s="52" t="s">
        <v>610</v>
      </c>
      <c r="E342" s="52" t="s">
        <v>204</v>
      </c>
      <c r="F342" s="52" t="s">
        <v>24</v>
      </c>
      <c r="G342" s="52" t="s">
        <v>412</v>
      </c>
      <c r="H342" s="53">
        <v>43767</v>
      </c>
      <c r="I342" s="54">
        <v>7</v>
      </c>
      <c r="J342" s="55">
        <v>43769</v>
      </c>
      <c r="K342" s="114">
        <v>456</v>
      </c>
      <c r="L342" s="114">
        <v>548</v>
      </c>
      <c r="M342" s="57">
        <v>147000000</v>
      </c>
      <c r="N342" s="57">
        <v>0</v>
      </c>
      <c r="O342" s="58">
        <v>147000000</v>
      </c>
      <c r="P342" s="59">
        <v>1.0624095238095238E-2</v>
      </c>
      <c r="Q342" s="59">
        <v>0.72731090476190474</v>
      </c>
      <c r="R342" s="59">
        <v>0.26196585714285714</v>
      </c>
      <c r="S342" s="60">
        <v>9.9142857142857146E-5</v>
      </c>
    </row>
    <row r="343" spans="2:19" ht="12.5" x14ac:dyDescent="0.25">
      <c r="B343" s="51" t="s">
        <v>456</v>
      </c>
      <c r="C343" s="52" t="s">
        <v>189</v>
      </c>
      <c r="D343" s="52" t="s">
        <v>591</v>
      </c>
      <c r="E343" s="52" t="s">
        <v>457</v>
      </c>
      <c r="F343" s="52" t="s">
        <v>23</v>
      </c>
      <c r="G343" s="52" t="s">
        <v>181</v>
      </c>
      <c r="H343" s="53">
        <v>43762</v>
      </c>
      <c r="I343" s="54">
        <v>11.6</v>
      </c>
      <c r="J343" s="55">
        <v>43766</v>
      </c>
      <c r="K343" s="114">
        <v>4703</v>
      </c>
      <c r="L343" s="114">
        <v>5252</v>
      </c>
      <c r="M343" s="57">
        <v>1200000013.2</v>
      </c>
      <c r="N343" s="57">
        <v>191304358</v>
      </c>
      <c r="O343" s="58">
        <v>1391304371.2</v>
      </c>
      <c r="P343" s="59">
        <v>0.10140722788452047</v>
      </c>
      <c r="Q343" s="59">
        <v>0.61375558724868851</v>
      </c>
      <c r="R343" s="59">
        <v>0.2746679579786524</v>
      </c>
      <c r="S343" s="60">
        <v>1.0169226888138504E-2</v>
      </c>
    </row>
    <row r="344" spans="2:19" ht="12.5" x14ac:dyDescent="0.25">
      <c r="B344" s="51" t="s">
        <v>458</v>
      </c>
      <c r="C344" s="52" t="s">
        <v>179</v>
      </c>
      <c r="D344" s="52" t="s">
        <v>652</v>
      </c>
      <c r="E344" s="52" t="s">
        <v>185</v>
      </c>
      <c r="F344" s="52" t="s">
        <v>23</v>
      </c>
      <c r="G344" s="52" t="s">
        <v>181</v>
      </c>
      <c r="H344" s="53">
        <v>43762</v>
      </c>
      <c r="I344" s="54">
        <v>16.5</v>
      </c>
      <c r="J344" s="55">
        <v>43766</v>
      </c>
      <c r="K344" s="114">
        <v>4247</v>
      </c>
      <c r="L344" s="114">
        <v>4724</v>
      </c>
      <c r="M344" s="57">
        <v>813698622</v>
      </c>
      <c r="N344" s="57">
        <v>941070009</v>
      </c>
      <c r="O344" s="58">
        <v>1754768631</v>
      </c>
      <c r="P344" s="59">
        <v>9.6985583330420844E-2</v>
      </c>
      <c r="Q344" s="59">
        <v>0.50624742055424221</v>
      </c>
      <c r="R344" s="59">
        <v>0.39321048149407806</v>
      </c>
      <c r="S344" s="60">
        <v>3.5565146212588202E-3</v>
      </c>
    </row>
    <row r="345" spans="2:19" ht="12.5" x14ac:dyDescent="0.25">
      <c r="B345" s="51" t="s">
        <v>377</v>
      </c>
      <c r="C345" s="52" t="s">
        <v>179</v>
      </c>
      <c r="D345" s="52" t="s">
        <v>639</v>
      </c>
      <c r="E345" s="52" t="s">
        <v>204</v>
      </c>
      <c r="F345" s="52" t="s">
        <v>24</v>
      </c>
      <c r="G345" s="52" t="s">
        <v>412</v>
      </c>
      <c r="H345" s="53">
        <v>43781</v>
      </c>
      <c r="I345" s="54">
        <v>43</v>
      </c>
      <c r="J345" s="55">
        <v>43783</v>
      </c>
      <c r="K345" s="114">
        <v>2870</v>
      </c>
      <c r="L345" s="114">
        <v>3803</v>
      </c>
      <c r="M345" s="57">
        <v>4300000000</v>
      </c>
      <c r="N345" s="57">
        <v>430000000</v>
      </c>
      <c r="O345" s="58">
        <v>4730000000</v>
      </c>
      <c r="P345" s="59">
        <v>2.447681818181818E-3</v>
      </c>
      <c r="Q345" s="59">
        <v>0.56667219999999996</v>
      </c>
      <c r="R345" s="59">
        <v>0.42326165454545456</v>
      </c>
      <c r="S345" s="60">
        <v>7.6184636363636361E-3</v>
      </c>
    </row>
    <row r="346" spans="2:19" ht="12.5" x14ac:dyDescent="0.25">
      <c r="B346" s="51" t="s">
        <v>280</v>
      </c>
      <c r="C346" s="52" t="s">
        <v>179</v>
      </c>
      <c r="D346" s="52" t="s">
        <v>655</v>
      </c>
      <c r="E346" s="52" t="s">
        <v>348</v>
      </c>
      <c r="F346" s="52" t="s">
        <v>24</v>
      </c>
      <c r="G346" s="52" t="s">
        <v>412</v>
      </c>
      <c r="H346" s="53">
        <v>43782</v>
      </c>
      <c r="I346" s="54">
        <v>4.75</v>
      </c>
      <c r="J346" s="55">
        <v>43787</v>
      </c>
      <c r="K346" s="114">
        <v>0</v>
      </c>
      <c r="L346" s="114">
        <v>1619</v>
      </c>
      <c r="M346" s="57">
        <v>513000000</v>
      </c>
      <c r="N346" s="57">
        <v>0</v>
      </c>
      <c r="O346" s="58">
        <v>513000000</v>
      </c>
      <c r="P346" s="59">
        <v>0</v>
      </c>
      <c r="Q346" s="59">
        <v>0.55287562962962966</v>
      </c>
      <c r="R346" s="59">
        <v>0.38842592592592595</v>
      </c>
      <c r="S346" s="60">
        <v>5.8698444444444442E-2</v>
      </c>
    </row>
    <row r="347" spans="2:19" ht="12.5" x14ac:dyDescent="0.25">
      <c r="B347" s="51" t="s">
        <v>294</v>
      </c>
      <c r="C347" s="52" t="s">
        <v>179</v>
      </c>
      <c r="D347" s="52" t="s">
        <v>619</v>
      </c>
      <c r="E347" s="52" t="s">
        <v>447</v>
      </c>
      <c r="F347" s="52" t="s">
        <v>24</v>
      </c>
      <c r="G347" s="52" t="s">
        <v>412</v>
      </c>
      <c r="H347" s="53">
        <v>43790</v>
      </c>
      <c r="I347" s="54">
        <v>14.5</v>
      </c>
      <c r="J347" s="55">
        <v>43794</v>
      </c>
      <c r="K347" s="114">
        <v>0</v>
      </c>
      <c r="L347" s="114">
        <v>421</v>
      </c>
      <c r="M347" s="57">
        <v>633650000</v>
      </c>
      <c r="N347" s="57">
        <v>0</v>
      </c>
      <c r="O347" s="58">
        <v>633650000</v>
      </c>
      <c r="P347" s="59">
        <v>0</v>
      </c>
      <c r="Q347" s="59">
        <v>0.56635983981693361</v>
      </c>
      <c r="R347" s="59">
        <v>0.35230114416475972</v>
      </c>
      <c r="S347" s="60">
        <v>8.1339016018306634E-2</v>
      </c>
    </row>
    <row r="348" spans="2:19" ht="12.5" x14ac:dyDescent="0.25">
      <c r="B348" s="51" t="s">
        <v>357</v>
      </c>
      <c r="C348" s="52" t="s">
        <v>179</v>
      </c>
      <c r="D348" s="52" t="s">
        <v>603</v>
      </c>
      <c r="E348" s="52" t="s">
        <v>204</v>
      </c>
      <c r="F348" s="52" t="s">
        <v>24</v>
      </c>
      <c r="G348" s="52" t="s">
        <v>412</v>
      </c>
      <c r="H348" s="53">
        <v>43790</v>
      </c>
      <c r="I348" s="54">
        <v>12.5</v>
      </c>
      <c r="J348" s="55">
        <v>43794</v>
      </c>
      <c r="K348" s="114">
        <v>51</v>
      </c>
      <c r="L348" s="114">
        <v>299</v>
      </c>
      <c r="M348" s="57">
        <v>1054687500</v>
      </c>
      <c r="N348" s="57">
        <v>0</v>
      </c>
      <c r="O348" s="58">
        <v>1054687500</v>
      </c>
      <c r="P348" s="59">
        <v>4.4242962962962962E-4</v>
      </c>
      <c r="Q348" s="59">
        <v>0.53270363259259257</v>
      </c>
      <c r="R348" s="59">
        <v>0.46446416592592593</v>
      </c>
      <c r="S348" s="60">
        <v>2.3897718518518518E-3</v>
      </c>
    </row>
    <row r="349" spans="2:19" ht="12.5" x14ac:dyDescent="0.25">
      <c r="B349" s="51" t="s">
        <v>459</v>
      </c>
      <c r="C349" s="52" t="s">
        <v>179</v>
      </c>
      <c r="D349" s="52" t="s">
        <v>652</v>
      </c>
      <c r="E349" s="52" t="s">
        <v>204</v>
      </c>
      <c r="F349" s="52" t="s">
        <v>24</v>
      </c>
      <c r="G349" s="52" t="s">
        <v>412</v>
      </c>
      <c r="H349" s="53">
        <v>43803</v>
      </c>
      <c r="I349" s="54">
        <v>10</v>
      </c>
      <c r="J349" s="55">
        <v>43805</v>
      </c>
      <c r="K349" s="114">
        <v>130</v>
      </c>
      <c r="L349" s="114">
        <v>374</v>
      </c>
      <c r="M349" s="57">
        <v>567708330</v>
      </c>
      <c r="N349" s="57">
        <v>0</v>
      </c>
      <c r="O349" s="58">
        <v>567708330</v>
      </c>
      <c r="P349" s="59">
        <v>3.3597181848644005E-3</v>
      </c>
      <c r="Q349" s="59">
        <v>0.66781627107708641</v>
      </c>
      <c r="R349" s="59">
        <v>0.29617224394082786</v>
      </c>
      <c r="S349" s="60">
        <v>3.2651766797221385E-2</v>
      </c>
    </row>
    <row r="350" spans="2:19" ht="12.5" x14ac:dyDescent="0.25">
      <c r="B350" s="51" t="s">
        <v>460</v>
      </c>
      <c r="C350" s="52" t="s">
        <v>179</v>
      </c>
      <c r="D350" s="52" t="s">
        <v>603</v>
      </c>
      <c r="E350" s="52" t="s">
        <v>461</v>
      </c>
      <c r="F350" s="52" t="s">
        <v>24</v>
      </c>
      <c r="G350" s="52" t="s">
        <v>412</v>
      </c>
      <c r="H350" s="53">
        <v>43804</v>
      </c>
      <c r="I350" s="54">
        <v>43</v>
      </c>
      <c r="J350" s="55">
        <v>43808</v>
      </c>
      <c r="K350" s="114">
        <v>0</v>
      </c>
      <c r="L350" s="114">
        <v>443</v>
      </c>
      <c r="M350" s="57">
        <v>1190769244</v>
      </c>
      <c r="N350" s="57">
        <v>0</v>
      </c>
      <c r="O350" s="58">
        <v>1190769244</v>
      </c>
      <c r="P350" s="59">
        <v>9.4249998952777793E-4</v>
      </c>
      <c r="Q350" s="59">
        <v>0.49793823613401961</v>
      </c>
      <c r="R350" s="59">
        <v>0.36040657932881581</v>
      </c>
      <c r="S350" s="60">
        <v>0.14071268454763683</v>
      </c>
    </row>
    <row r="351" spans="2:19" ht="12.5" x14ac:dyDescent="0.25">
      <c r="B351" s="51" t="s">
        <v>440</v>
      </c>
      <c r="C351" s="52" t="s">
        <v>179</v>
      </c>
      <c r="D351" s="52" t="s">
        <v>654</v>
      </c>
      <c r="E351" s="52" t="s">
        <v>204</v>
      </c>
      <c r="F351" s="52" t="s">
        <v>24</v>
      </c>
      <c r="G351" s="52" t="s">
        <v>412</v>
      </c>
      <c r="H351" s="53">
        <v>43810</v>
      </c>
      <c r="I351" s="54">
        <v>57</v>
      </c>
      <c r="J351" s="55">
        <v>43812</v>
      </c>
      <c r="K351" s="114">
        <v>662</v>
      </c>
      <c r="L351" s="114">
        <v>1376</v>
      </c>
      <c r="M351" s="57">
        <v>3705000000</v>
      </c>
      <c r="N351" s="57">
        <v>1296750000</v>
      </c>
      <c r="O351" s="58">
        <v>5001750000</v>
      </c>
      <c r="P351" s="59">
        <v>6.2811396011396015E-4</v>
      </c>
      <c r="Q351" s="59">
        <v>0.44429349287749287</v>
      </c>
      <c r="R351" s="59">
        <v>0.55414322507122504</v>
      </c>
      <c r="S351" s="60">
        <v>9.351680911680912E-4</v>
      </c>
    </row>
    <row r="352" spans="2:19" ht="12.5" x14ac:dyDescent="0.25">
      <c r="B352" s="51" t="s">
        <v>388</v>
      </c>
      <c r="C352" s="52" t="s">
        <v>179</v>
      </c>
      <c r="D352" s="52" t="s">
        <v>643</v>
      </c>
      <c r="E352" s="52" t="s">
        <v>204</v>
      </c>
      <c r="F352" s="52" t="s">
        <v>24</v>
      </c>
      <c r="G352" s="52" t="s">
        <v>412</v>
      </c>
      <c r="H352" s="53">
        <v>43816</v>
      </c>
      <c r="I352" s="54">
        <v>19.5</v>
      </c>
      <c r="J352" s="55">
        <v>43818</v>
      </c>
      <c r="K352" s="114">
        <v>593</v>
      </c>
      <c r="L352" s="114">
        <v>1061</v>
      </c>
      <c r="M352" s="57">
        <v>1189500000</v>
      </c>
      <c r="N352" s="57">
        <v>639771249</v>
      </c>
      <c r="O352" s="58">
        <v>1829271249</v>
      </c>
      <c r="P352" s="59">
        <v>2.3667826749951834E-3</v>
      </c>
      <c r="Q352" s="59">
        <v>0.48046370541299643</v>
      </c>
      <c r="R352" s="59">
        <v>0.50952361794869061</v>
      </c>
      <c r="S352" s="60">
        <v>7.6458939633178482E-3</v>
      </c>
    </row>
    <row r="353" spans="2:19" ht="12.5" x14ac:dyDescent="0.25">
      <c r="B353" s="51" t="s">
        <v>298</v>
      </c>
      <c r="C353" s="52" t="s">
        <v>179</v>
      </c>
      <c r="D353" s="52" t="s">
        <v>606</v>
      </c>
      <c r="E353" s="52" t="s">
        <v>211</v>
      </c>
      <c r="F353" s="52" t="s">
        <v>24</v>
      </c>
      <c r="G353" s="52" t="s">
        <v>412</v>
      </c>
      <c r="H353" s="53">
        <v>43816</v>
      </c>
      <c r="I353" s="54">
        <v>10</v>
      </c>
      <c r="J353" s="55">
        <v>43818</v>
      </c>
      <c r="K353" s="114">
        <v>614</v>
      </c>
      <c r="L353" s="114">
        <v>681</v>
      </c>
      <c r="M353" s="57">
        <v>900900910</v>
      </c>
      <c r="N353" s="57">
        <v>2096484270</v>
      </c>
      <c r="O353" s="58">
        <v>2997385180</v>
      </c>
      <c r="P353" s="59">
        <v>0.14105915143011416</v>
      </c>
      <c r="Q353" s="59">
        <v>0.39980733140209895</v>
      </c>
      <c r="R353" s="59">
        <v>0.45913351716778689</v>
      </c>
      <c r="S353" s="60">
        <v>0</v>
      </c>
    </row>
    <row r="354" spans="2:19" ht="13" thickBot="1" x14ac:dyDescent="0.3">
      <c r="B354" s="30" t="s">
        <v>341</v>
      </c>
      <c r="C354" s="31" t="s">
        <v>179</v>
      </c>
      <c r="D354" s="31" t="s">
        <v>652</v>
      </c>
      <c r="E354" s="31" t="s">
        <v>211</v>
      </c>
      <c r="F354" s="31" t="s">
        <v>24</v>
      </c>
      <c r="G354" s="31" t="s">
        <v>412</v>
      </c>
      <c r="H354" s="32">
        <v>43817</v>
      </c>
      <c r="I354" s="33">
        <v>15</v>
      </c>
      <c r="J354" s="34">
        <v>43819</v>
      </c>
      <c r="K354" s="86">
        <v>121</v>
      </c>
      <c r="L354" s="86">
        <v>141</v>
      </c>
      <c r="M354" s="36">
        <v>258750000</v>
      </c>
      <c r="N354" s="36">
        <v>0</v>
      </c>
      <c r="O354" s="37">
        <v>258750000</v>
      </c>
      <c r="P354" s="38">
        <v>0.2988846956521739</v>
      </c>
      <c r="Q354" s="38">
        <v>0.6967674782608696</v>
      </c>
      <c r="R354" s="38">
        <v>4.3478260869565218E-3</v>
      </c>
      <c r="S354" s="39">
        <v>0</v>
      </c>
    </row>
    <row r="355" spans="2:19" ht="13" thickTop="1" x14ac:dyDescent="0.25">
      <c r="B355" s="40" t="s">
        <v>304</v>
      </c>
      <c r="C355" s="74" t="s">
        <v>179</v>
      </c>
      <c r="D355" s="74" t="s">
        <v>606</v>
      </c>
      <c r="E355" s="74" t="s">
        <v>348</v>
      </c>
      <c r="F355" s="74" t="s">
        <v>24</v>
      </c>
      <c r="G355" s="74" t="s">
        <v>412</v>
      </c>
      <c r="H355" s="75">
        <v>43853</v>
      </c>
      <c r="I355" s="76">
        <v>13</v>
      </c>
      <c r="J355" s="77">
        <v>43857</v>
      </c>
      <c r="K355" s="79">
        <v>0</v>
      </c>
      <c r="L355" s="79">
        <v>1226</v>
      </c>
      <c r="M355" s="80">
        <v>1040000000</v>
      </c>
      <c r="N355" s="80">
        <v>195000000</v>
      </c>
      <c r="O355" s="82">
        <v>1235000000</v>
      </c>
      <c r="P355" s="84">
        <v>0</v>
      </c>
      <c r="Q355" s="84">
        <v>0.47924267368421053</v>
      </c>
      <c r="R355" s="84">
        <v>0.42518526315789473</v>
      </c>
      <c r="S355" s="85">
        <v>9.5572063157894738E-2</v>
      </c>
    </row>
    <row r="356" spans="2:19" ht="12.5" x14ac:dyDescent="0.25">
      <c r="B356" s="51" t="s">
        <v>403</v>
      </c>
      <c r="C356" s="52" t="s">
        <v>179</v>
      </c>
      <c r="D356" s="52" t="s">
        <v>614</v>
      </c>
      <c r="E356" s="52" t="s">
        <v>457</v>
      </c>
      <c r="F356" s="52" t="s">
        <v>24</v>
      </c>
      <c r="G356" s="52" t="s">
        <v>412</v>
      </c>
      <c r="H356" s="53">
        <v>43859</v>
      </c>
      <c r="I356" s="54">
        <v>36.25</v>
      </c>
      <c r="J356" s="55">
        <v>43861</v>
      </c>
      <c r="K356" s="114">
        <v>96</v>
      </c>
      <c r="L356" s="114">
        <v>332</v>
      </c>
      <c r="M356" s="57">
        <v>1100213600</v>
      </c>
      <c r="N356" s="57">
        <v>0</v>
      </c>
      <c r="O356" s="58">
        <v>1100213600</v>
      </c>
      <c r="P356" s="59">
        <v>0.1322984100541931</v>
      </c>
      <c r="Q356" s="59">
        <v>0.56927773047888153</v>
      </c>
      <c r="R356" s="59">
        <v>0.29842385946692535</v>
      </c>
      <c r="S356" s="60">
        <v>0</v>
      </c>
    </row>
    <row r="357" spans="2:19" ht="12.5" x14ac:dyDescent="0.25">
      <c r="B357" s="51" t="s">
        <v>462</v>
      </c>
      <c r="C357" s="52" t="s">
        <v>179</v>
      </c>
      <c r="D357" s="52" t="s">
        <v>609</v>
      </c>
      <c r="E357" s="52" t="s">
        <v>348</v>
      </c>
      <c r="F357" s="52" t="s">
        <v>24</v>
      </c>
      <c r="G357" s="52" t="s">
        <v>412</v>
      </c>
      <c r="H357" s="53">
        <v>43860</v>
      </c>
      <c r="I357" s="54">
        <v>6.55</v>
      </c>
      <c r="J357" s="55">
        <v>43864</v>
      </c>
      <c r="K357" s="114">
        <v>0</v>
      </c>
      <c r="L357" s="114">
        <v>321</v>
      </c>
      <c r="M357" s="57">
        <v>353700000</v>
      </c>
      <c r="N357" s="57">
        <v>0</v>
      </c>
      <c r="O357" s="58">
        <v>353700000</v>
      </c>
      <c r="P357" s="59">
        <v>0</v>
      </c>
      <c r="Q357" s="59">
        <v>0.82411924074074072</v>
      </c>
      <c r="R357" s="59">
        <v>0.13694444444444445</v>
      </c>
      <c r="S357" s="60">
        <v>3.8936314814814812E-2</v>
      </c>
    </row>
    <row r="358" spans="2:19" ht="12.5" x14ac:dyDescent="0.25">
      <c r="B358" s="51" t="s">
        <v>463</v>
      </c>
      <c r="C358" s="52" t="s">
        <v>179</v>
      </c>
      <c r="D358" s="52" t="s">
        <v>655</v>
      </c>
      <c r="E358" s="52" t="s">
        <v>204</v>
      </c>
      <c r="F358" s="52" t="s">
        <v>23</v>
      </c>
      <c r="G358" s="52" t="s">
        <v>181</v>
      </c>
      <c r="H358" s="53">
        <v>43864</v>
      </c>
      <c r="I358" s="54">
        <v>19.3</v>
      </c>
      <c r="J358" s="55">
        <v>43866</v>
      </c>
      <c r="K358" s="114">
        <v>7300</v>
      </c>
      <c r="L358" s="114">
        <v>7748</v>
      </c>
      <c r="M358" s="57">
        <v>958724026</v>
      </c>
      <c r="N358" s="57">
        <v>94003236.200000003</v>
      </c>
      <c r="O358" s="58">
        <v>1052727262.2</v>
      </c>
      <c r="P358" s="59">
        <v>0.10116679204494311</v>
      </c>
      <c r="Q358" s="59">
        <v>0.42703269496718532</v>
      </c>
      <c r="R358" s="59">
        <v>0.4502438366019848</v>
      </c>
      <c r="S358" s="60">
        <v>2.1556676385886799E-2</v>
      </c>
    </row>
    <row r="359" spans="2:19" ht="12.5" x14ac:dyDescent="0.25">
      <c r="B359" s="51" t="s">
        <v>464</v>
      </c>
      <c r="C359" s="52" t="s">
        <v>179</v>
      </c>
      <c r="D359" s="52" t="s">
        <v>597</v>
      </c>
      <c r="E359" s="52" t="s">
        <v>204</v>
      </c>
      <c r="F359" s="52" t="s">
        <v>23</v>
      </c>
      <c r="G359" s="52" t="s">
        <v>181</v>
      </c>
      <c r="H359" s="53">
        <v>43865</v>
      </c>
      <c r="I359" s="54">
        <v>17.25</v>
      </c>
      <c r="J359" s="55">
        <v>43867</v>
      </c>
      <c r="K359" s="114">
        <v>3180</v>
      </c>
      <c r="L359" s="114">
        <v>3704</v>
      </c>
      <c r="M359" s="57">
        <v>574999994.25</v>
      </c>
      <c r="N359" s="57">
        <v>750144988.5</v>
      </c>
      <c r="O359" s="58">
        <v>1325144982.75</v>
      </c>
      <c r="P359" s="59">
        <v>0.1001020059893518</v>
      </c>
      <c r="Q359" s="59">
        <v>0.32811089987126918</v>
      </c>
      <c r="R359" s="59">
        <v>0.54889604984243756</v>
      </c>
      <c r="S359" s="60">
        <v>2.2891044296941478E-2</v>
      </c>
    </row>
    <row r="360" spans="2:19" ht="12.5" x14ac:dyDescent="0.25">
      <c r="B360" s="51" t="s">
        <v>364</v>
      </c>
      <c r="C360" s="52" t="s">
        <v>184</v>
      </c>
      <c r="D360" s="52" t="s">
        <v>653</v>
      </c>
      <c r="E360" s="52" t="s">
        <v>202</v>
      </c>
      <c r="F360" s="52" t="s">
        <v>24</v>
      </c>
      <c r="G360" s="52" t="s">
        <v>181</v>
      </c>
      <c r="H360" s="53">
        <v>43866</v>
      </c>
      <c r="I360" s="54">
        <v>30</v>
      </c>
      <c r="J360" s="55">
        <v>43868</v>
      </c>
      <c r="K360" s="114">
        <v>53097</v>
      </c>
      <c r="L360" s="114">
        <v>55292</v>
      </c>
      <c r="M360" s="57">
        <v>0</v>
      </c>
      <c r="N360" s="57">
        <v>22026080970</v>
      </c>
      <c r="O360" s="58">
        <v>22026080970</v>
      </c>
      <c r="P360" s="59">
        <v>0.16906688870671122</v>
      </c>
      <c r="Q360" s="59">
        <v>0.43540777694689459</v>
      </c>
      <c r="R360" s="59">
        <v>0.38807323561745721</v>
      </c>
      <c r="S360" s="60">
        <v>7.4520987289369801E-3</v>
      </c>
    </row>
    <row r="361" spans="2:19" ht="12.5" x14ac:dyDescent="0.25">
      <c r="B361" s="51" t="s">
        <v>465</v>
      </c>
      <c r="C361" s="52" t="s">
        <v>179</v>
      </c>
      <c r="D361" s="52" t="s">
        <v>614</v>
      </c>
      <c r="E361" s="52" t="s">
        <v>204</v>
      </c>
      <c r="F361" s="52" t="s">
        <v>24</v>
      </c>
      <c r="G361" s="52" t="s">
        <v>412</v>
      </c>
      <c r="H361" s="53">
        <v>43872</v>
      </c>
      <c r="I361" s="54">
        <v>11</v>
      </c>
      <c r="J361" s="55">
        <v>43874</v>
      </c>
      <c r="K361" s="114">
        <v>1</v>
      </c>
      <c r="L361" s="114">
        <v>2042</v>
      </c>
      <c r="M361" s="57">
        <v>2555938044</v>
      </c>
      <c r="N361" s="57">
        <v>0</v>
      </c>
      <c r="O361" s="58">
        <v>2555938044</v>
      </c>
      <c r="P361" s="59">
        <v>8.6074073867496297E-5</v>
      </c>
      <c r="Q361" s="59">
        <v>0.30330180061281642</v>
      </c>
      <c r="R361" s="59">
        <v>0.44945746736574654</v>
      </c>
      <c r="S361" s="60">
        <v>0.24715465794756955</v>
      </c>
    </row>
    <row r="362" spans="2:19" ht="12.5" x14ac:dyDescent="0.25">
      <c r="B362" s="51" t="s">
        <v>466</v>
      </c>
      <c r="C362" s="52" t="s">
        <v>179</v>
      </c>
      <c r="D362" s="52" t="s">
        <v>655</v>
      </c>
      <c r="E362" s="52" t="s">
        <v>204</v>
      </c>
      <c r="F362" s="52" t="s">
        <v>23</v>
      </c>
      <c r="G362" s="52" t="s">
        <v>181</v>
      </c>
      <c r="H362" s="53">
        <v>43872</v>
      </c>
      <c r="I362" s="54">
        <v>19</v>
      </c>
      <c r="J362" s="55">
        <v>43874</v>
      </c>
      <c r="K362" s="114">
        <v>4678</v>
      </c>
      <c r="L362" s="114">
        <v>4948</v>
      </c>
      <c r="M362" s="57">
        <v>1104867005</v>
      </c>
      <c r="N362" s="57">
        <v>0</v>
      </c>
      <c r="O362" s="58">
        <v>1104867005</v>
      </c>
      <c r="P362" s="59">
        <v>9.7688715535139414E-2</v>
      </c>
      <c r="Q362" s="59">
        <v>0.58761211359542875</v>
      </c>
      <c r="R362" s="59">
        <v>0.3110162628928631</v>
      </c>
      <c r="S362" s="60">
        <v>3.6829079765686827E-3</v>
      </c>
    </row>
    <row r="363" spans="2:19" ht="12.5" x14ac:dyDescent="0.25">
      <c r="B363" s="51" t="s">
        <v>467</v>
      </c>
      <c r="C363" s="52" t="s">
        <v>179</v>
      </c>
      <c r="D363" s="52" t="s">
        <v>602</v>
      </c>
      <c r="E363" s="52" t="s">
        <v>457</v>
      </c>
      <c r="F363" s="52" t="s">
        <v>23</v>
      </c>
      <c r="G363" s="52" t="s">
        <v>181</v>
      </c>
      <c r="H363" s="53">
        <v>43874</v>
      </c>
      <c r="I363" s="54">
        <v>10</v>
      </c>
      <c r="J363" s="55">
        <v>43878</v>
      </c>
      <c r="K363" s="114">
        <v>9671</v>
      </c>
      <c r="L363" s="114">
        <v>9909</v>
      </c>
      <c r="M363" s="57">
        <v>173913040</v>
      </c>
      <c r="N363" s="57">
        <v>26086950</v>
      </c>
      <c r="O363" s="58">
        <v>199999990</v>
      </c>
      <c r="P363" s="59">
        <v>0.38039636901981844</v>
      </c>
      <c r="Q363" s="59">
        <v>0.56562192828109636</v>
      </c>
      <c r="R363" s="59">
        <v>2.6556051327802567E-2</v>
      </c>
      <c r="S363" s="60">
        <v>2.742465137123257E-2</v>
      </c>
    </row>
    <row r="364" spans="2:19" ht="12.5" x14ac:dyDescent="0.25">
      <c r="B364" s="51" t="s">
        <v>468</v>
      </c>
      <c r="C364" s="52" t="s">
        <v>179</v>
      </c>
      <c r="D364" s="52" t="s">
        <v>602</v>
      </c>
      <c r="E364" s="52" t="s">
        <v>348</v>
      </c>
      <c r="F364" s="52" t="s">
        <v>23</v>
      </c>
      <c r="G364" s="52" t="s">
        <v>181</v>
      </c>
      <c r="H364" s="53">
        <v>43964</v>
      </c>
      <c r="I364" s="54">
        <v>10.5</v>
      </c>
      <c r="J364" s="55">
        <v>43966</v>
      </c>
      <c r="K364" s="114">
        <v>1104</v>
      </c>
      <c r="L364" s="114">
        <v>1178</v>
      </c>
      <c r="M364" s="57">
        <v>300300000</v>
      </c>
      <c r="N364" s="57">
        <v>0</v>
      </c>
      <c r="O364" s="58">
        <v>300300000</v>
      </c>
      <c r="P364" s="59">
        <v>9.9578321678321674E-2</v>
      </c>
      <c r="Q364" s="59">
        <v>0.43811605351170568</v>
      </c>
      <c r="R364" s="59">
        <v>6.0833079963514745E-2</v>
      </c>
      <c r="S364" s="60">
        <v>0.40147254484645789</v>
      </c>
    </row>
    <row r="365" spans="2:19" ht="12.5" x14ac:dyDescent="0.25">
      <c r="B365" s="51" t="s">
        <v>444</v>
      </c>
      <c r="C365" s="52" t="s">
        <v>179</v>
      </c>
      <c r="D365" s="52" t="s">
        <v>593</v>
      </c>
      <c r="E365" s="52" t="s">
        <v>190</v>
      </c>
      <c r="F365" s="52" t="s">
        <v>24</v>
      </c>
      <c r="G365" s="52" t="s">
        <v>412</v>
      </c>
      <c r="H365" s="53">
        <v>43977</v>
      </c>
      <c r="I365" s="54">
        <v>30</v>
      </c>
      <c r="J365" s="55">
        <v>43990</v>
      </c>
      <c r="K365" s="114">
        <v>344</v>
      </c>
      <c r="L365" s="114">
        <v>770</v>
      </c>
      <c r="M365" s="57">
        <v>900000000</v>
      </c>
      <c r="N365" s="57">
        <v>0</v>
      </c>
      <c r="O365" s="58">
        <v>900000000</v>
      </c>
      <c r="P365" s="59">
        <v>2.1158333333333333E-3</v>
      </c>
      <c r="Q365" s="59">
        <v>0.67652143333333337</v>
      </c>
      <c r="R365" s="59">
        <v>0.31601646666666666</v>
      </c>
      <c r="S365" s="60">
        <v>5.3462666666666669E-3</v>
      </c>
    </row>
    <row r="366" spans="2:19" ht="12.5" x14ac:dyDescent="0.25">
      <c r="B366" s="51" t="s">
        <v>406</v>
      </c>
      <c r="C366" s="52" t="s">
        <v>179</v>
      </c>
      <c r="D366" s="52" t="s">
        <v>639</v>
      </c>
      <c r="E366" s="52" t="s">
        <v>190</v>
      </c>
      <c r="F366" s="52" t="s">
        <v>24</v>
      </c>
      <c r="G366" s="52" t="s">
        <v>412</v>
      </c>
      <c r="H366" s="53">
        <v>43997</v>
      </c>
      <c r="I366" s="54">
        <v>15</v>
      </c>
      <c r="J366" s="55">
        <v>43999</v>
      </c>
      <c r="K366" s="114">
        <v>0</v>
      </c>
      <c r="L366" s="114">
        <v>14556</v>
      </c>
      <c r="M366" s="57">
        <v>4455000000</v>
      </c>
      <c r="N366" s="57">
        <v>0</v>
      </c>
      <c r="O366" s="58">
        <v>4455000000</v>
      </c>
      <c r="P366" s="59">
        <v>7.9124579124579126E-5</v>
      </c>
      <c r="Q366" s="59">
        <v>0.4090659158249158</v>
      </c>
      <c r="R366" s="59">
        <v>0.27761075084175085</v>
      </c>
      <c r="S366" s="60">
        <v>0.31324420875420877</v>
      </c>
    </row>
    <row r="367" spans="2:19" ht="12.5" x14ac:dyDescent="0.25">
      <c r="B367" s="51" t="s">
        <v>445</v>
      </c>
      <c r="C367" s="52" t="s">
        <v>184</v>
      </c>
      <c r="D367" s="52" t="s">
        <v>591</v>
      </c>
      <c r="E367" s="52" t="s">
        <v>348</v>
      </c>
      <c r="F367" s="52" t="s">
        <v>24</v>
      </c>
      <c r="G367" s="52" t="s">
        <v>412</v>
      </c>
      <c r="H367" s="53">
        <v>44011</v>
      </c>
      <c r="I367" s="54">
        <v>24.8</v>
      </c>
      <c r="J367" s="55">
        <v>44013</v>
      </c>
      <c r="K367" s="114">
        <v>0</v>
      </c>
      <c r="L367" s="114">
        <v>2556</v>
      </c>
      <c r="M367" s="57">
        <v>2650500000</v>
      </c>
      <c r="N367" s="57">
        <v>0</v>
      </c>
      <c r="O367" s="58">
        <v>2650500000</v>
      </c>
      <c r="P367" s="59">
        <v>8.1403508771929825E-5</v>
      </c>
      <c r="Q367" s="59">
        <v>0.48391056842105268</v>
      </c>
      <c r="R367" s="59">
        <v>0.1185880701754386</v>
      </c>
      <c r="S367" s="60">
        <v>0.39741995789473683</v>
      </c>
    </row>
    <row r="368" spans="2:19" ht="12.5" x14ac:dyDescent="0.25">
      <c r="B368" s="51" t="s">
        <v>469</v>
      </c>
      <c r="C368" s="52" t="s">
        <v>240</v>
      </c>
      <c r="D368" s="52" t="s">
        <v>604</v>
      </c>
      <c r="E368" s="52" t="s">
        <v>202</v>
      </c>
      <c r="F368" s="52" t="s">
        <v>23</v>
      </c>
      <c r="G368" s="52" t="s">
        <v>412</v>
      </c>
      <c r="H368" s="53">
        <v>44014</v>
      </c>
      <c r="I368" s="54">
        <v>820</v>
      </c>
      <c r="J368" s="55">
        <v>44018</v>
      </c>
      <c r="K368" s="114">
        <v>0</v>
      </c>
      <c r="L368" s="114">
        <v>120</v>
      </c>
      <c r="M368" s="57">
        <v>301753440</v>
      </c>
      <c r="N368" s="57">
        <v>560739780</v>
      </c>
      <c r="O368" s="58">
        <v>862493220</v>
      </c>
      <c r="P368" s="59">
        <v>1.8064872764584901E-4</v>
      </c>
      <c r="Q368" s="59">
        <v>0.81068826261989435</v>
      </c>
      <c r="R368" s="59">
        <v>0.18482261649810636</v>
      </c>
      <c r="S368" s="60">
        <v>4.3355694635003762E-3</v>
      </c>
    </row>
    <row r="369" spans="2:19" ht="12.5" x14ac:dyDescent="0.25">
      <c r="B369" s="51" t="s">
        <v>280</v>
      </c>
      <c r="C369" s="52" t="s">
        <v>179</v>
      </c>
      <c r="D369" s="52" t="s">
        <v>655</v>
      </c>
      <c r="E369" s="52" t="s">
        <v>348</v>
      </c>
      <c r="F369" s="52" t="s">
        <v>24</v>
      </c>
      <c r="G369" s="52" t="s">
        <v>412</v>
      </c>
      <c r="H369" s="53">
        <v>44027</v>
      </c>
      <c r="I369" s="54">
        <v>9.75</v>
      </c>
      <c r="J369" s="55">
        <v>44029</v>
      </c>
      <c r="K369" s="114">
        <v>0</v>
      </c>
      <c r="L369" s="114">
        <v>2687</v>
      </c>
      <c r="M369" s="57">
        <v>399750000</v>
      </c>
      <c r="N369" s="57">
        <v>33422512.5</v>
      </c>
      <c r="O369" s="58">
        <v>433172512.5</v>
      </c>
      <c r="P369" s="59">
        <v>0</v>
      </c>
      <c r="Q369" s="59">
        <v>0.84487560195777656</v>
      </c>
      <c r="R369" s="59">
        <v>0.10616150418824186</v>
      </c>
      <c r="S369" s="60">
        <v>4.8962893853981559E-2</v>
      </c>
    </row>
    <row r="370" spans="2:19" ht="12.5" x14ac:dyDescent="0.25">
      <c r="B370" s="51" t="s">
        <v>470</v>
      </c>
      <c r="C370" s="52" t="s">
        <v>189</v>
      </c>
      <c r="D370" s="52" t="s">
        <v>593</v>
      </c>
      <c r="E370" s="52" t="s">
        <v>348</v>
      </c>
      <c r="F370" s="52" t="s">
        <v>24</v>
      </c>
      <c r="G370" s="52" t="s">
        <v>412</v>
      </c>
      <c r="H370" s="53">
        <v>44026</v>
      </c>
      <c r="I370" s="54">
        <v>32.402222222222221</v>
      </c>
      <c r="J370" s="55">
        <v>44028</v>
      </c>
      <c r="K370" s="114">
        <v>0</v>
      </c>
      <c r="L370" s="114">
        <v>2073</v>
      </c>
      <c r="M370" s="57">
        <v>7873740000</v>
      </c>
      <c r="N370" s="57">
        <v>0</v>
      </c>
      <c r="O370" s="58">
        <v>7873740000</v>
      </c>
      <c r="P370" s="59">
        <v>0</v>
      </c>
      <c r="Q370" s="59">
        <v>0.3546143251028806</v>
      </c>
      <c r="R370" s="59">
        <v>0.18156418930041152</v>
      </c>
      <c r="S370" s="60">
        <v>0.46382148559670777</v>
      </c>
    </row>
    <row r="371" spans="2:19" ht="12.5" x14ac:dyDescent="0.25">
      <c r="B371" s="51" t="s">
        <v>471</v>
      </c>
      <c r="C371" s="52" t="s">
        <v>179</v>
      </c>
      <c r="D371" s="52" t="s">
        <v>586</v>
      </c>
      <c r="E371" s="52" t="s">
        <v>190</v>
      </c>
      <c r="F371" s="52" t="s">
        <v>23</v>
      </c>
      <c r="G371" s="52" t="s">
        <v>181</v>
      </c>
      <c r="H371" s="53">
        <v>44021</v>
      </c>
      <c r="I371" s="54">
        <v>24.75</v>
      </c>
      <c r="J371" s="55">
        <v>44025</v>
      </c>
      <c r="K371" s="114">
        <v>5287</v>
      </c>
      <c r="L371" s="114">
        <v>5798</v>
      </c>
      <c r="M371" s="57">
        <v>1082400016.5</v>
      </c>
      <c r="N371" s="57">
        <v>0</v>
      </c>
      <c r="O371" s="58">
        <v>1082400016.5</v>
      </c>
      <c r="P371" s="59">
        <v>9.7165676872474432E-2</v>
      </c>
      <c r="Q371" s="59">
        <v>0.59682831407273906</v>
      </c>
      <c r="R371" s="59">
        <v>0.30303731245369953</v>
      </c>
      <c r="S371" s="60">
        <v>2.9686966010869422E-3</v>
      </c>
    </row>
    <row r="372" spans="2:19" ht="12.5" x14ac:dyDescent="0.25">
      <c r="B372" s="51" t="s">
        <v>437</v>
      </c>
      <c r="C372" s="52" t="s">
        <v>179</v>
      </c>
      <c r="D372" s="52" t="s">
        <v>651</v>
      </c>
      <c r="E372" s="52" t="s">
        <v>348</v>
      </c>
      <c r="F372" s="52" t="s">
        <v>24</v>
      </c>
      <c r="G372" s="52" t="s">
        <v>412</v>
      </c>
      <c r="H372" s="53">
        <v>44033</v>
      </c>
      <c r="I372" s="54">
        <v>4.25</v>
      </c>
      <c r="J372" s="55">
        <v>44035</v>
      </c>
      <c r="K372" s="114">
        <v>0</v>
      </c>
      <c r="L372" s="114">
        <v>1766</v>
      </c>
      <c r="M372" s="57">
        <v>384412500</v>
      </c>
      <c r="N372" s="57">
        <v>0</v>
      </c>
      <c r="O372" s="58">
        <v>384412500</v>
      </c>
      <c r="P372" s="59">
        <v>0</v>
      </c>
      <c r="Q372" s="59">
        <v>0.71300042012161413</v>
      </c>
      <c r="R372" s="59">
        <v>9.4527363184079602E-2</v>
      </c>
      <c r="S372" s="60">
        <v>0.19247221669430625</v>
      </c>
    </row>
    <row r="373" spans="2:19" ht="12.5" x14ac:dyDescent="0.25">
      <c r="B373" s="51" t="s">
        <v>472</v>
      </c>
      <c r="C373" s="52" t="s">
        <v>210</v>
      </c>
      <c r="D373" s="52" t="s">
        <v>612</v>
      </c>
      <c r="E373" s="52" t="s">
        <v>348</v>
      </c>
      <c r="F373" s="52" t="s">
        <v>24</v>
      </c>
      <c r="G373" s="52" t="s">
        <v>412</v>
      </c>
      <c r="H373" s="53">
        <v>44034</v>
      </c>
      <c r="I373" s="54">
        <v>4.5</v>
      </c>
      <c r="J373" s="55">
        <v>44036</v>
      </c>
      <c r="K373" s="114">
        <v>0</v>
      </c>
      <c r="L373" s="114">
        <v>105</v>
      </c>
      <c r="M373" s="57">
        <v>405000000</v>
      </c>
      <c r="N373" s="57">
        <v>0</v>
      </c>
      <c r="O373" s="58">
        <v>405000000</v>
      </c>
      <c r="P373" s="59">
        <v>4.4944444444444441E-3</v>
      </c>
      <c r="Q373" s="59">
        <v>0.76062677777777776</v>
      </c>
      <c r="R373" s="59">
        <v>0.23</v>
      </c>
      <c r="S373" s="60">
        <v>4.8787777777777779E-3</v>
      </c>
    </row>
    <row r="374" spans="2:19" ht="12.5" x14ac:dyDescent="0.25">
      <c r="B374" s="51" t="s">
        <v>473</v>
      </c>
      <c r="C374" s="52" t="s">
        <v>210</v>
      </c>
      <c r="D374" s="52" t="s">
        <v>618</v>
      </c>
      <c r="E374" s="52" t="s">
        <v>190</v>
      </c>
      <c r="F374" s="52" t="s">
        <v>24</v>
      </c>
      <c r="G374" s="52" t="s">
        <v>412</v>
      </c>
      <c r="H374" s="53">
        <v>44034</v>
      </c>
      <c r="I374" s="54">
        <v>30</v>
      </c>
      <c r="J374" s="55">
        <v>44036</v>
      </c>
      <c r="K374" s="114">
        <v>0</v>
      </c>
      <c r="L374" s="114">
        <v>809</v>
      </c>
      <c r="M374" s="57">
        <v>480000000</v>
      </c>
      <c r="N374" s="57">
        <v>556713360</v>
      </c>
      <c r="O374" s="58">
        <v>1036713360</v>
      </c>
      <c r="P374" s="59">
        <v>0</v>
      </c>
      <c r="Q374" s="59">
        <v>0.5578050040755721</v>
      </c>
      <c r="R374" s="59">
        <v>0.41091396757923521</v>
      </c>
      <c r="S374" s="60">
        <v>3.1281028345192738E-2</v>
      </c>
    </row>
    <row r="375" spans="2:19" ht="12.5" x14ac:dyDescent="0.25">
      <c r="B375" s="51" t="s">
        <v>474</v>
      </c>
      <c r="C375" s="52" t="s">
        <v>179</v>
      </c>
      <c r="D375" s="52" t="s">
        <v>652</v>
      </c>
      <c r="E375" s="52" t="s">
        <v>204</v>
      </c>
      <c r="F375" s="52" t="s">
        <v>23</v>
      </c>
      <c r="G375" s="52" t="s">
        <v>181</v>
      </c>
      <c r="H375" s="53">
        <v>44041</v>
      </c>
      <c r="I375" s="54">
        <v>9.9</v>
      </c>
      <c r="J375" s="55">
        <v>44043</v>
      </c>
      <c r="K375" s="114">
        <v>6726</v>
      </c>
      <c r="L375" s="114">
        <v>7229</v>
      </c>
      <c r="M375" s="57">
        <v>1349999996.4000001</v>
      </c>
      <c r="N375" s="57">
        <v>472499992.80000001</v>
      </c>
      <c r="O375" s="58">
        <v>1822499989.2</v>
      </c>
      <c r="P375" s="59">
        <v>0.13093826447963416</v>
      </c>
      <c r="Q375" s="59">
        <v>0.71711512227426233</v>
      </c>
      <c r="R375" s="59">
        <v>0.14826382408847699</v>
      </c>
      <c r="S375" s="60">
        <v>3.6827891576264051E-3</v>
      </c>
    </row>
    <row r="376" spans="2:19" ht="12.5" x14ac:dyDescent="0.25">
      <c r="B376" s="51" t="s">
        <v>475</v>
      </c>
      <c r="C376" s="52" t="s">
        <v>179</v>
      </c>
      <c r="D376" s="52" t="s">
        <v>618</v>
      </c>
      <c r="E376" s="52" t="s">
        <v>457</v>
      </c>
      <c r="F376" s="52" t="s">
        <v>23</v>
      </c>
      <c r="G376" s="52" t="s">
        <v>181</v>
      </c>
      <c r="H376" s="53">
        <v>44049</v>
      </c>
      <c r="I376" s="54">
        <v>17</v>
      </c>
      <c r="J376" s="55">
        <v>44053</v>
      </c>
      <c r="K376" s="114">
        <v>6213</v>
      </c>
      <c r="L376" s="114">
        <v>6526</v>
      </c>
      <c r="M376" s="57">
        <v>400115485</v>
      </c>
      <c r="N376" s="57">
        <v>0</v>
      </c>
      <c r="O376" s="58">
        <v>400115485</v>
      </c>
      <c r="P376" s="59">
        <v>0.31911968369913735</v>
      </c>
      <c r="Q376" s="59">
        <v>0.59082652867635743</v>
      </c>
      <c r="R376" s="59">
        <v>6.9918443870100586E-2</v>
      </c>
      <c r="S376" s="60">
        <v>2.0135343754404639E-2</v>
      </c>
    </row>
    <row r="377" spans="2:19" ht="12.5" x14ac:dyDescent="0.25">
      <c r="B377" s="51" t="s">
        <v>476</v>
      </c>
      <c r="C377" s="52" t="s">
        <v>179</v>
      </c>
      <c r="D377" s="52" t="s">
        <v>593</v>
      </c>
      <c r="E377" s="52" t="s">
        <v>348</v>
      </c>
      <c r="F377" s="52" t="s">
        <v>23</v>
      </c>
      <c r="G377" s="52" t="s">
        <v>181</v>
      </c>
      <c r="H377" s="53">
        <v>44049</v>
      </c>
      <c r="I377" s="54">
        <v>12.65</v>
      </c>
      <c r="J377" s="55">
        <v>44053</v>
      </c>
      <c r="K377" s="114">
        <v>10049</v>
      </c>
      <c r="L377" s="114">
        <v>10844</v>
      </c>
      <c r="M377" s="57">
        <v>279867259.10000002</v>
      </c>
      <c r="N377" s="57">
        <v>1951899022.7</v>
      </c>
      <c r="O377" s="58">
        <v>2231766281.8000002</v>
      </c>
      <c r="P377" s="59">
        <v>9.8577852794944049E-2</v>
      </c>
      <c r="Q377" s="59">
        <v>0.54763831395205553</v>
      </c>
      <c r="R377" s="59">
        <v>0.34977499573584603</v>
      </c>
      <c r="S377" s="60">
        <v>4.0088375171543926E-3</v>
      </c>
    </row>
    <row r="378" spans="2:19" ht="12.5" x14ac:dyDescent="0.25">
      <c r="B378" s="51" t="s">
        <v>436</v>
      </c>
      <c r="C378" s="52" t="s">
        <v>179</v>
      </c>
      <c r="D378" s="52" t="s">
        <v>581</v>
      </c>
      <c r="E378" s="52" t="s">
        <v>190</v>
      </c>
      <c r="F378" s="52" t="s">
        <v>24</v>
      </c>
      <c r="G378" s="52" t="s">
        <v>412</v>
      </c>
      <c r="H378" s="53">
        <v>44067</v>
      </c>
      <c r="I378" s="54">
        <v>21.75</v>
      </c>
      <c r="J378" s="55">
        <v>44069</v>
      </c>
      <c r="K378" s="114">
        <v>0</v>
      </c>
      <c r="L378" s="114">
        <v>2532</v>
      </c>
      <c r="M378" s="57">
        <v>6400000009.5</v>
      </c>
      <c r="N378" s="57">
        <v>0</v>
      </c>
      <c r="O378" s="58">
        <v>6400000009.5</v>
      </c>
      <c r="P378" s="59">
        <v>0</v>
      </c>
      <c r="Q378" s="59">
        <v>0.18270018324442941</v>
      </c>
      <c r="R378" s="59">
        <v>0.17226679661929148</v>
      </c>
      <c r="S378" s="60">
        <v>0.64503302013627906</v>
      </c>
    </row>
    <row r="379" spans="2:19" ht="12.5" x14ac:dyDescent="0.25">
      <c r="B379" s="51" t="s">
        <v>450</v>
      </c>
      <c r="C379" s="52" t="s">
        <v>184</v>
      </c>
      <c r="D379" s="52" t="s">
        <v>591</v>
      </c>
      <c r="E379" s="52" t="s">
        <v>190</v>
      </c>
      <c r="F379" s="52" t="s">
        <v>24</v>
      </c>
      <c r="G379" s="52" t="s">
        <v>412</v>
      </c>
      <c r="H379" s="53">
        <v>44077</v>
      </c>
      <c r="I379" s="54">
        <v>20.83</v>
      </c>
      <c r="J379" s="55">
        <v>44082</v>
      </c>
      <c r="K379" s="114">
        <v>0</v>
      </c>
      <c r="L379" s="114">
        <v>802</v>
      </c>
      <c r="M379" s="57">
        <v>1166248787</v>
      </c>
      <c r="N379" s="57">
        <v>0</v>
      </c>
      <c r="O379" s="58">
        <v>1166248787</v>
      </c>
      <c r="P379" s="59">
        <v>0</v>
      </c>
      <c r="Q379" s="59">
        <v>0.44113518929644979</v>
      </c>
      <c r="R379" s="59">
        <v>0.22581022309779258</v>
      </c>
      <c r="S379" s="60">
        <v>0.33305458760575751</v>
      </c>
    </row>
    <row r="380" spans="2:19" ht="12.5" x14ac:dyDescent="0.25">
      <c r="B380" s="51" t="s">
        <v>427</v>
      </c>
      <c r="C380" s="52" t="s">
        <v>179</v>
      </c>
      <c r="D380" s="52" t="s">
        <v>584</v>
      </c>
      <c r="E380" s="52" t="s">
        <v>204</v>
      </c>
      <c r="F380" s="52" t="s">
        <v>24</v>
      </c>
      <c r="G380" s="52" t="s">
        <v>412</v>
      </c>
      <c r="H380" s="53">
        <v>44075</v>
      </c>
      <c r="I380" s="54">
        <v>38.25</v>
      </c>
      <c r="J380" s="55">
        <v>44077</v>
      </c>
      <c r="K380" s="114">
        <v>141</v>
      </c>
      <c r="L380" s="114">
        <v>382</v>
      </c>
      <c r="M380" s="57">
        <v>896963532.75</v>
      </c>
      <c r="N380" s="57">
        <v>0</v>
      </c>
      <c r="O380" s="58">
        <v>896963532.75</v>
      </c>
      <c r="P380" s="59">
        <v>4.7552184055054607E-4</v>
      </c>
      <c r="Q380" s="59">
        <v>0.60618791611625866</v>
      </c>
      <c r="R380" s="59">
        <v>0.38317384453331332</v>
      </c>
      <c r="S380" s="60">
        <v>1.0162717509877494E-2</v>
      </c>
    </row>
    <row r="381" spans="2:19" ht="12.5" x14ac:dyDescent="0.25">
      <c r="B381" s="51" t="s">
        <v>477</v>
      </c>
      <c r="C381" s="52" t="s">
        <v>179</v>
      </c>
      <c r="D381" s="52" t="s">
        <v>655</v>
      </c>
      <c r="E381" s="52" t="s">
        <v>348</v>
      </c>
      <c r="F381" s="52" t="s">
        <v>23</v>
      </c>
      <c r="G381" s="52" t="s">
        <v>181</v>
      </c>
      <c r="H381" s="53">
        <v>44074</v>
      </c>
      <c r="I381" s="54">
        <v>9.5</v>
      </c>
      <c r="J381" s="55">
        <v>44076</v>
      </c>
      <c r="K381" s="114">
        <v>1392</v>
      </c>
      <c r="L381" s="114">
        <v>1633</v>
      </c>
      <c r="M381" s="57">
        <v>1027064000</v>
      </c>
      <c r="N381" s="57">
        <v>0</v>
      </c>
      <c r="O381" s="58">
        <v>1027064000</v>
      </c>
      <c r="P381" s="59">
        <v>0.15468951282639321</v>
      </c>
      <c r="Q381" s="59">
        <v>0.71497606722799201</v>
      </c>
      <c r="R381" s="59">
        <v>0.12948795170854766</v>
      </c>
      <c r="S381" s="60">
        <v>8.4646823706712967E-4</v>
      </c>
    </row>
    <row r="382" spans="2:19" ht="12.5" x14ac:dyDescent="0.25">
      <c r="B382" s="51" t="s">
        <v>478</v>
      </c>
      <c r="C382" s="52" t="s">
        <v>179</v>
      </c>
      <c r="D382" s="52" t="s">
        <v>618</v>
      </c>
      <c r="E382" s="52" t="s">
        <v>204</v>
      </c>
      <c r="F382" s="52" t="s">
        <v>23</v>
      </c>
      <c r="G382" s="52" t="s">
        <v>181</v>
      </c>
      <c r="H382" s="53">
        <v>44074</v>
      </c>
      <c r="I382" s="54">
        <v>8.5</v>
      </c>
      <c r="J382" s="55">
        <v>44076</v>
      </c>
      <c r="K382" s="114">
        <v>10193</v>
      </c>
      <c r="L382" s="114">
        <v>10569</v>
      </c>
      <c r="M382" s="57">
        <v>858963097</v>
      </c>
      <c r="N382" s="57">
        <v>0</v>
      </c>
      <c r="O382" s="58">
        <v>858963097</v>
      </c>
      <c r="P382" s="59">
        <v>9.5005791034582718E-2</v>
      </c>
      <c r="Q382" s="59">
        <v>0.2850157106341904</v>
      </c>
      <c r="R382" s="59">
        <v>0.48223761119274255</v>
      </c>
      <c r="S382" s="60">
        <v>0.13774088713848437</v>
      </c>
    </row>
    <row r="383" spans="2:19" ht="12.5" x14ac:dyDescent="0.25">
      <c r="B383" s="51" t="s">
        <v>451</v>
      </c>
      <c r="C383" s="52" t="s">
        <v>189</v>
      </c>
      <c r="D383" s="52" t="s">
        <v>591</v>
      </c>
      <c r="E383" s="52" t="s">
        <v>348</v>
      </c>
      <c r="F383" s="52" t="s">
        <v>24</v>
      </c>
      <c r="G383" s="52" t="s">
        <v>412</v>
      </c>
      <c r="H383" s="53">
        <v>44070</v>
      </c>
      <c r="I383" s="54">
        <v>8.3000000000000007</v>
      </c>
      <c r="J383" s="55">
        <v>44074</v>
      </c>
      <c r="K383" s="114">
        <v>0</v>
      </c>
      <c r="L383" s="114">
        <v>46</v>
      </c>
      <c r="M383" s="57">
        <v>0</v>
      </c>
      <c r="N383" s="57">
        <v>743677219.50000012</v>
      </c>
      <c r="O383" s="58">
        <v>743677219.50000012</v>
      </c>
      <c r="P383" s="59">
        <v>0</v>
      </c>
      <c r="Q383" s="59">
        <v>0.28551357865009874</v>
      </c>
      <c r="R383" s="59">
        <v>0.24573466876243341</v>
      </c>
      <c r="S383" s="60">
        <v>0.46875175258746782</v>
      </c>
    </row>
    <row r="384" spans="2:19" ht="12.5" x14ac:dyDescent="0.25">
      <c r="B384" s="51" t="s">
        <v>479</v>
      </c>
      <c r="C384" s="52" t="s">
        <v>179</v>
      </c>
      <c r="D384" s="52" t="s">
        <v>593</v>
      </c>
      <c r="E384" s="52" t="s">
        <v>204</v>
      </c>
      <c r="F384" s="52" t="s">
        <v>23</v>
      </c>
      <c r="G384" s="52" t="s">
        <v>181</v>
      </c>
      <c r="H384" s="53">
        <v>44144</v>
      </c>
      <c r="I384" s="54">
        <v>13.75</v>
      </c>
      <c r="J384" s="55">
        <v>44085</v>
      </c>
      <c r="K384" s="114">
        <v>37928</v>
      </c>
      <c r="L384" s="114">
        <v>39168</v>
      </c>
      <c r="M384" s="57">
        <v>336734695</v>
      </c>
      <c r="N384" s="57">
        <v>2693877532.5</v>
      </c>
      <c r="O384" s="58">
        <v>3030612227.5</v>
      </c>
      <c r="P384" s="59">
        <v>0.12573764396256795</v>
      </c>
      <c r="Q384" s="59">
        <v>0.59226017228890104</v>
      </c>
      <c r="R384" s="59">
        <v>0.27607715815896144</v>
      </c>
      <c r="S384" s="60">
        <v>5.9250255895695915E-3</v>
      </c>
    </row>
    <row r="385" spans="2:19" ht="12.5" x14ac:dyDescent="0.25">
      <c r="B385" s="51" t="s">
        <v>480</v>
      </c>
      <c r="C385" s="52" t="s">
        <v>179</v>
      </c>
      <c r="D385" s="52" t="s">
        <v>655</v>
      </c>
      <c r="E385" s="52" t="s">
        <v>204</v>
      </c>
      <c r="F385" s="52" t="s">
        <v>23</v>
      </c>
      <c r="G385" s="52" t="s">
        <v>181</v>
      </c>
      <c r="H385" s="53">
        <v>44089</v>
      </c>
      <c r="I385" s="54">
        <v>9.4</v>
      </c>
      <c r="J385" s="55">
        <v>44091</v>
      </c>
      <c r="K385" s="114">
        <v>613</v>
      </c>
      <c r="L385" s="114">
        <v>708</v>
      </c>
      <c r="M385" s="57">
        <v>40006400</v>
      </c>
      <c r="N385" s="57">
        <v>593415420</v>
      </c>
      <c r="O385" s="58">
        <v>633421820</v>
      </c>
      <c r="P385" s="59">
        <v>6.2766628748918668E-2</v>
      </c>
      <c r="Q385" s="59">
        <v>0.80233199599479599</v>
      </c>
      <c r="R385" s="59">
        <v>0.13486516494220382</v>
      </c>
      <c r="S385" s="60">
        <v>3.6210314081561757E-5</v>
      </c>
    </row>
    <row r="386" spans="2:19" ht="12.5" x14ac:dyDescent="0.25">
      <c r="B386" s="51" t="s">
        <v>481</v>
      </c>
      <c r="C386" s="52" t="s">
        <v>179</v>
      </c>
      <c r="D386" s="52" t="s">
        <v>620</v>
      </c>
      <c r="E386" s="52" t="s">
        <v>457</v>
      </c>
      <c r="F386" s="52" t="s">
        <v>24</v>
      </c>
      <c r="G386" s="52" t="s">
        <v>412</v>
      </c>
      <c r="H386" s="53">
        <v>44082</v>
      </c>
      <c r="I386" s="54">
        <v>9.6</v>
      </c>
      <c r="J386" s="55">
        <v>44084</v>
      </c>
      <c r="K386" s="114">
        <v>1819</v>
      </c>
      <c r="L386" s="114">
        <v>2144</v>
      </c>
      <c r="M386" s="57">
        <v>763020844.79999995</v>
      </c>
      <c r="N386" s="57">
        <v>0</v>
      </c>
      <c r="O386" s="58">
        <v>763020844.79999995</v>
      </c>
      <c r="P386" s="59">
        <v>1.2636702215556565E-2</v>
      </c>
      <c r="Q386" s="59">
        <v>0.38860168659968963</v>
      </c>
      <c r="R386" s="59">
        <v>0.48416970534642984</v>
      </c>
      <c r="S386" s="60">
        <v>0.11459190583832396</v>
      </c>
    </row>
    <row r="387" spans="2:19" ht="12.5" x14ac:dyDescent="0.25">
      <c r="B387" s="51" t="s">
        <v>482</v>
      </c>
      <c r="C387" s="52" t="s">
        <v>179</v>
      </c>
      <c r="D387" s="52" t="s">
        <v>605</v>
      </c>
      <c r="E387" s="52" t="s">
        <v>348</v>
      </c>
      <c r="F387" s="52" t="s">
        <v>24</v>
      </c>
      <c r="G387" s="52" t="s">
        <v>412</v>
      </c>
      <c r="H387" s="53">
        <v>44098</v>
      </c>
      <c r="I387" s="54">
        <v>4.0999999999999996</v>
      </c>
      <c r="J387" s="55">
        <v>44102</v>
      </c>
      <c r="K387" s="114">
        <v>0</v>
      </c>
      <c r="L387" s="114">
        <v>2244</v>
      </c>
      <c r="M387" s="57">
        <v>789987999.99999988</v>
      </c>
      <c r="N387" s="57">
        <v>0</v>
      </c>
      <c r="O387" s="58">
        <v>789987999.99999988</v>
      </c>
      <c r="P387" s="59">
        <v>1.9690678845754621E-3</v>
      </c>
      <c r="Q387" s="59">
        <v>0.81119014947062495</v>
      </c>
      <c r="R387" s="59">
        <v>9.3107743408760657E-2</v>
      </c>
      <c r="S387" s="60">
        <v>9.3733039236039026E-2</v>
      </c>
    </row>
    <row r="388" spans="2:19" ht="12.5" x14ac:dyDescent="0.25">
      <c r="B388" s="51" t="s">
        <v>483</v>
      </c>
      <c r="C388" s="52" t="s">
        <v>179</v>
      </c>
      <c r="D388" s="52" t="s">
        <v>655</v>
      </c>
      <c r="E388" s="52" t="s">
        <v>348</v>
      </c>
      <c r="F388" s="52" t="s">
        <v>23</v>
      </c>
      <c r="G388" s="52" t="s">
        <v>181</v>
      </c>
      <c r="H388" s="53">
        <v>44098</v>
      </c>
      <c r="I388" s="54">
        <v>8.5</v>
      </c>
      <c r="J388" s="55">
        <v>44102</v>
      </c>
      <c r="K388" s="114">
        <v>2034</v>
      </c>
      <c r="L388" s="114">
        <v>2237</v>
      </c>
      <c r="M388" s="57">
        <v>620500000</v>
      </c>
      <c r="N388" s="57">
        <v>27324950</v>
      </c>
      <c r="O388" s="58">
        <v>647824950</v>
      </c>
      <c r="P388" s="59">
        <v>9.8468421679571178E-2</v>
      </c>
      <c r="Q388" s="59">
        <v>0.5916835020845741</v>
      </c>
      <c r="R388" s="59">
        <v>0.29971767718880288</v>
      </c>
      <c r="S388" s="60">
        <v>1.0130399047051817E-2</v>
      </c>
    </row>
    <row r="389" spans="2:19" ht="12.5" x14ac:dyDescent="0.25">
      <c r="B389" s="51" t="s">
        <v>484</v>
      </c>
      <c r="C389" s="52" t="s">
        <v>179</v>
      </c>
      <c r="D389" s="52" t="s">
        <v>619</v>
      </c>
      <c r="E389" s="52" t="s">
        <v>461</v>
      </c>
      <c r="F389" s="52" t="s">
        <v>23</v>
      </c>
      <c r="G389" s="52" t="s">
        <v>181</v>
      </c>
      <c r="H389" s="53">
        <v>44097</v>
      </c>
      <c r="I389" s="54">
        <v>7.56</v>
      </c>
      <c r="J389" s="55">
        <v>44099</v>
      </c>
      <c r="K389" s="114">
        <v>2999</v>
      </c>
      <c r="L389" s="114">
        <v>3359</v>
      </c>
      <c r="M389" s="57">
        <v>0</v>
      </c>
      <c r="N389" s="57">
        <v>3019664869.1999998</v>
      </c>
      <c r="O389" s="58">
        <v>3019664869.1999998</v>
      </c>
      <c r="P389" s="59">
        <v>0.11786782240205776</v>
      </c>
      <c r="Q389" s="59">
        <v>0.52217207995779402</v>
      </c>
      <c r="R389" s="59">
        <v>0.35568626391996866</v>
      </c>
      <c r="S389" s="60">
        <v>4.2738337201795517E-3</v>
      </c>
    </row>
    <row r="390" spans="2:19" ht="12.5" x14ac:dyDescent="0.25">
      <c r="B390" s="51" t="s">
        <v>485</v>
      </c>
      <c r="C390" s="52" t="s">
        <v>179</v>
      </c>
      <c r="D390" s="52" t="s">
        <v>655</v>
      </c>
      <c r="E390" s="52" t="s">
        <v>348</v>
      </c>
      <c r="F390" s="52" t="s">
        <v>23</v>
      </c>
      <c r="G390" s="52" t="s">
        <v>181</v>
      </c>
      <c r="H390" s="53">
        <v>44091</v>
      </c>
      <c r="I390" s="54">
        <v>9.35</v>
      </c>
      <c r="J390" s="55">
        <v>44095</v>
      </c>
      <c r="K390" s="114">
        <v>1140</v>
      </c>
      <c r="L390" s="114">
        <v>1377</v>
      </c>
      <c r="M390" s="57">
        <v>169999998.29999998</v>
      </c>
      <c r="N390" s="57">
        <v>807499996.5999999</v>
      </c>
      <c r="O390" s="58">
        <v>977499994.89999986</v>
      </c>
      <c r="P390" s="59">
        <v>9.8209301381961572E-2</v>
      </c>
      <c r="Q390" s="59">
        <v>0.78759423628310044</v>
      </c>
      <c r="R390" s="59">
        <v>0.11397800233379828</v>
      </c>
      <c r="S390" s="60">
        <v>2.184600011397913E-4</v>
      </c>
    </row>
    <row r="391" spans="2:19" ht="12.5" x14ac:dyDescent="0.25">
      <c r="B391" s="51" t="s">
        <v>486</v>
      </c>
      <c r="C391" s="52" t="s">
        <v>179</v>
      </c>
      <c r="D391" s="52" t="s">
        <v>621</v>
      </c>
      <c r="E391" s="52" t="s">
        <v>487</v>
      </c>
      <c r="F391" s="52" t="s">
        <v>23</v>
      </c>
      <c r="G391" s="52" t="s">
        <v>181</v>
      </c>
      <c r="H391" s="53">
        <v>44102</v>
      </c>
      <c r="I391" s="54">
        <v>12.2</v>
      </c>
      <c r="J391" s="55">
        <v>44104</v>
      </c>
      <c r="K391" s="114">
        <v>1510</v>
      </c>
      <c r="L391" s="114">
        <v>1898</v>
      </c>
      <c r="M391" s="57">
        <v>1299676492</v>
      </c>
      <c r="N391" s="57">
        <v>870065582.19999993</v>
      </c>
      <c r="O391" s="58">
        <v>2169742074.1999998</v>
      </c>
      <c r="P391" s="59">
        <v>9.689944786525817E-2</v>
      </c>
      <c r="Q391" s="59">
        <v>0.28286285337684219</v>
      </c>
      <c r="R391" s="59">
        <v>0.61713605074174949</v>
      </c>
      <c r="S391" s="60">
        <v>2.1713689640908565E-3</v>
      </c>
    </row>
    <row r="392" spans="2:19" ht="12.5" x14ac:dyDescent="0.25">
      <c r="B392" s="51" t="s">
        <v>488</v>
      </c>
      <c r="C392" s="52" t="s">
        <v>179</v>
      </c>
      <c r="D392" s="52" t="s">
        <v>612</v>
      </c>
      <c r="E392" s="52" t="s">
        <v>487</v>
      </c>
      <c r="F392" s="52" t="s">
        <v>24</v>
      </c>
      <c r="G392" s="52" t="s">
        <v>181</v>
      </c>
      <c r="H392" s="53">
        <v>44105</v>
      </c>
      <c r="I392" s="54">
        <v>46</v>
      </c>
      <c r="J392" s="55">
        <v>44109</v>
      </c>
      <c r="K392" s="114">
        <v>1355</v>
      </c>
      <c r="L392" s="114">
        <v>1946</v>
      </c>
      <c r="M392" s="57">
        <v>0</v>
      </c>
      <c r="N392" s="57">
        <v>6910001550</v>
      </c>
      <c r="O392" s="58">
        <v>6910001550</v>
      </c>
      <c r="P392" s="59">
        <v>4.5865058597562833E-2</v>
      </c>
      <c r="Q392" s="59">
        <v>0.42986197506714019</v>
      </c>
      <c r="R392" s="59">
        <v>0.51725026573981014</v>
      </c>
      <c r="S392" s="60">
        <v>7.0227005954868419E-3</v>
      </c>
    </row>
    <row r="393" spans="2:19" ht="12.5" x14ac:dyDescent="0.25">
      <c r="B393" s="51" t="s">
        <v>489</v>
      </c>
      <c r="C393" s="52" t="s">
        <v>179</v>
      </c>
      <c r="D393" s="52" t="s">
        <v>602</v>
      </c>
      <c r="E393" s="52" t="s">
        <v>348</v>
      </c>
      <c r="F393" s="52" t="s">
        <v>23</v>
      </c>
      <c r="G393" s="52" t="s">
        <v>181</v>
      </c>
      <c r="H393" s="53">
        <v>44109</v>
      </c>
      <c r="I393" s="54">
        <v>12.4</v>
      </c>
      <c r="J393" s="55">
        <v>44111</v>
      </c>
      <c r="K393" s="114">
        <v>572</v>
      </c>
      <c r="L393" s="114">
        <v>705</v>
      </c>
      <c r="M393" s="57">
        <v>348070170</v>
      </c>
      <c r="N393" s="57">
        <v>557787687.20000005</v>
      </c>
      <c r="O393" s="58">
        <v>905857857.20000005</v>
      </c>
      <c r="P393" s="59">
        <v>3.8005060435304307E-2</v>
      </c>
      <c r="Q393" s="59">
        <v>0.26971787093645905</v>
      </c>
      <c r="R393" s="59">
        <v>0.69140133796102299</v>
      </c>
      <c r="S393" s="60">
        <v>8.7573066721363538E-4</v>
      </c>
    </row>
    <row r="394" spans="2:19" ht="12.5" x14ac:dyDescent="0.25">
      <c r="B394" s="51" t="s">
        <v>490</v>
      </c>
      <c r="C394" s="52" t="s">
        <v>179</v>
      </c>
      <c r="D394" s="52" t="s">
        <v>625</v>
      </c>
      <c r="E394" s="52" t="s">
        <v>457</v>
      </c>
      <c r="F394" s="52" t="s">
        <v>23</v>
      </c>
      <c r="G394" s="52" t="s">
        <v>181</v>
      </c>
      <c r="H394" s="53">
        <v>44112</v>
      </c>
      <c r="I394" s="54">
        <v>8.9700000000000006</v>
      </c>
      <c r="J394" s="55">
        <v>44117</v>
      </c>
      <c r="K394" s="114">
        <v>16162</v>
      </c>
      <c r="L394" s="114">
        <v>17115</v>
      </c>
      <c r="M394" s="57">
        <v>3099286440.5100002</v>
      </c>
      <c r="N394" s="57">
        <v>1062364461.6000001</v>
      </c>
      <c r="O394" s="58">
        <v>4161650902.1100006</v>
      </c>
      <c r="P394" s="59">
        <v>0.10400331939365198</v>
      </c>
      <c r="Q394" s="59">
        <v>0.60837274307573608</v>
      </c>
      <c r="R394" s="59">
        <v>0.2734226017913573</v>
      </c>
      <c r="S394" s="60">
        <v>1.4201335739254596E-2</v>
      </c>
    </row>
    <row r="395" spans="2:19" ht="12.5" x14ac:dyDescent="0.25">
      <c r="B395" s="51" t="s">
        <v>491</v>
      </c>
      <c r="C395" s="52" t="s">
        <v>179</v>
      </c>
      <c r="D395" s="52" t="s">
        <v>628</v>
      </c>
      <c r="E395" s="52" t="s">
        <v>185</v>
      </c>
      <c r="F395" s="52" t="s">
        <v>24</v>
      </c>
      <c r="G395" s="52" t="s">
        <v>412</v>
      </c>
      <c r="H395" s="53">
        <v>44112</v>
      </c>
      <c r="I395" s="54">
        <v>46.25</v>
      </c>
      <c r="J395" s="55">
        <v>44117</v>
      </c>
      <c r="K395" s="114">
        <v>0</v>
      </c>
      <c r="L395" s="114">
        <v>1635</v>
      </c>
      <c r="M395" s="57">
        <v>5614750000</v>
      </c>
      <c r="N395" s="57">
        <v>0</v>
      </c>
      <c r="O395" s="58">
        <v>5614750000</v>
      </c>
      <c r="P395" s="59">
        <v>0</v>
      </c>
      <c r="Q395" s="59">
        <v>0.36891922570016472</v>
      </c>
      <c r="R395" s="59">
        <v>0.10215650741350907</v>
      </c>
      <c r="S395" s="60">
        <v>0.32242509060955521</v>
      </c>
    </row>
    <row r="396" spans="2:19" ht="12.5" x14ac:dyDescent="0.25">
      <c r="B396" s="51" t="s">
        <v>492</v>
      </c>
      <c r="C396" s="52" t="s">
        <v>184</v>
      </c>
      <c r="D396" s="52" t="s">
        <v>622</v>
      </c>
      <c r="E396" s="52" t="s">
        <v>348</v>
      </c>
      <c r="F396" s="52" t="s">
        <v>23</v>
      </c>
      <c r="G396" s="52" t="s">
        <v>181</v>
      </c>
      <c r="H396" s="53">
        <v>44126</v>
      </c>
      <c r="I396" s="54">
        <v>9.25</v>
      </c>
      <c r="J396" s="55">
        <v>44130</v>
      </c>
      <c r="K396" s="114">
        <v>1267</v>
      </c>
      <c r="L396" s="114">
        <v>1422</v>
      </c>
      <c r="M396" s="57">
        <v>182391500</v>
      </c>
      <c r="N396" s="57">
        <v>309825050</v>
      </c>
      <c r="O396" s="58">
        <v>492216550</v>
      </c>
      <c r="P396" s="59">
        <v>7.403591028795084E-2</v>
      </c>
      <c r="Q396" s="59">
        <v>0.6792292482079344</v>
      </c>
      <c r="R396" s="59">
        <v>0.23665688024067533</v>
      </c>
      <c r="S396" s="60">
        <v>8.0527370452185935E-3</v>
      </c>
    </row>
    <row r="397" spans="2:19" ht="12.5" x14ac:dyDescent="0.25">
      <c r="B397" s="51" t="s">
        <v>493</v>
      </c>
      <c r="C397" s="52" t="s">
        <v>179</v>
      </c>
      <c r="D397" s="52" t="s">
        <v>597</v>
      </c>
      <c r="E397" s="52" t="s">
        <v>204</v>
      </c>
      <c r="F397" s="52" t="s">
        <v>23</v>
      </c>
      <c r="G397" s="52" t="s">
        <v>181</v>
      </c>
      <c r="H397" s="53">
        <v>44138</v>
      </c>
      <c r="I397" s="54">
        <v>10</v>
      </c>
      <c r="J397" s="55">
        <v>44139</v>
      </c>
      <c r="K397" s="114">
        <v>1066</v>
      </c>
      <c r="L397" s="114">
        <v>1256</v>
      </c>
      <c r="M397" s="57">
        <v>334677510</v>
      </c>
      <c r="N397" s="57">
        <v>294718120</v>
      </c>
      <c r="O397" s="58">
        <v>629395630</v>
      </c>
      <c r="P397" s="59">
        <v>0.10185889040722203</v>
      </c>
      <c r="Q397" s="59">
        <v>0.63191547132501613</v>
      </c>
      <c r="R397" s="59">
        <v>0.26036318280768739</v>
      </c>
      <c r="S397" s="60">
        <v>5.8624554600745105E-3</v>
      </c>
    </row>
    <row r="398" spans="2:19" ht="12.5" x14ac:dyDescent="0.25">
      <c r="B398" s="51" t="s">
        <v>494</v>
      </c>
      <c r="C398" s="52" t="s">
        <v>179</v>
      </c>
      <c r="D398" s="52" t="s">
        <v>597</v>
      </c>
      <c r="E398" s="52" t="s">
        <v>348</v>
      </c>
      <c r="F398" s="52" t="s">
        <v>23</v>
      </c>
      <c r="G398" s="52" t="s">
        <v>181</v>
      </c>
      <c r="H398" s="53">
        <v>44140</v>
      </c>
      <c r="I398" s="54">
        <v>10.25</v>
      </c>
      <c r="J398" s="55">
        <v>44141</v>
      </c>
      <c r="K398" s="114">
        <v>1221</v>
      </c>
      <c r="L398" s="114">
        <v>1447</v>
      </c>
      <c r="M398" s="57">
        <v>470833750</v>
      </c>
      <c r="N398" s="57">
        <v>515883760.75</v>
      </c>
      <c r="O398" s="58">
        <v>986717510.75</v>
      </c>
      <c r="P398" s="59">
        <v>0.10703065504124835</v>
      </c>
      <c r="Q398" s="59">
        <v>0.71477944005202088</v>
      </c>
      <c r="R398" s="59">
        <v>0.17534201808662636</v>
      </c>
      <c r="S398" s="60">
        <v>2.8478868201044522E-3</v>
      </c>
    </row>
    <row r="399" spans="2:19" ht="12.5" x14ac:dyDescent="0.25">
      <c r="B399" s="51" t="s">
        <v>469</v>
      </c>
      <c r="C399" s="52" t="s">
        <v>240</v>
      </c>
      <c r="D399" s="52" t="s">
        <v>604</v>
      </c>
      <c r="E399" s="52" t="s">
        <v>457</v>
      </c>
      <c r="F399" s="52" t="s">
        <v>24</v>
      </c>
      <c r="G399" s="52" t="s">
        <v>181</v>
      </c>
      <c r="H399" s="53">
        <v>44141</v>
      </c>
      <c r="I399" s="54">
        <v>48.5</v>
      </c>
      <c r="J399" s="55">
        <v>44144</v>
      </c>
      <c r="K399" s="114">
        <v>543</v>
      </c>
      <c r="L399" s="114">
        <v>580</v>
      </c>
      <c r="M399" s="57">
        <v>0</v>
      </c>
      <c r="N399" s="57">
        <v>87300000</v>
      </c>
      <c r="O399" s="58">
        <v>87300000</v>
      </c>
      <c r="P399" s="59">
        <v>0.14430000000000001</v>
      </c>
      <c r="Q399" s="59">
        <v>0.76633777777777778</v>
      </c>
      <c r="R399" s="59">
        <v>0</v>
      </c>
      <c r="S399" s="60">
        <v>8.9362222222222218E-2</v>
      </c>
    </row>
    <row r="400" spans="2:19" ht="12.5" x14ac:dyDescent="0.25">
      <c r="B400" s="51" t="s">
        <v>495</v>
      </c>
      <c r="C400" s="52" t="s">
        <v>179</v>
      </c>
      <c r="D400" s="52" t="s">
        <v>656</v>
      </c>
      <c r="E400" s="52" t="s">
        <v>348</v>
      </c>
      <c r="F400" s="52" t="s">
        <v>23</v>
      </c>
      <c r="G400" s="52" t="s">
        <v>181</v>
      </c>
      <c r="H400" s="53">
        <v>44144</v>
      </c>
      <c r="I400" s="54">
        <v>5.55</v>
      </c>
      <c r="J400" s="55">
        <v>44145</v>
      </c>
      <c r="K400" s="114">
        <v>1161</v>
      </c>
      <c r="L400" s="114">
        <v>1330</v>
      </c>
      <c r="M400" s="57">
        <v>834634607.70000005</v>
      </c>
      <c r="N400" s="57">
        <v>294576883.80000001</v>
      </c>
      <c r="O400" s="58">
        <v>1129211491.5</v>
      </c>
      <c r="P400" s="59">
        <v>3.4478395006662922E-2</v>
      </c>
      <c r="Q400" s="59">
        <v>0.29991489300213164</v>
      </c>
      <c r="R400" s="59">
        <v>0.66448168358903037</v>
      </c>
      <c r="S400" s="60">
        <v>1.1250284021750941E-3</v>
      </c>
    </row>
    <row r="401" spans="2:19" ht="12.5" x14ac:dyDescent="0.25">
      <c r="B401" s="51" t="s">
        <v>496</v>
      </c>
      <c r="C401" s="52" t="s">
        <v>179</v>
      </c>
      <c r="D401" s="52" t="s">
        <v>653</v>
      </c>
      <c r="E401" s="52" t="s">
        <v>457</v>
      </c>
      <c r="F401" s="52" t="s">
        <v>23</v>
      </c>
      <c r="G401" s="52" t="s">
        <v>181</v>
      </c>
      <c r="H401" s="53">
        <v>44144</v>
      </c>
      <c r="I401" s="54">
        <v>21</v>
      </c>
      <c r="J401" s="55">
        <v>44145</v>
      </c>
      <c r="K401" s="114">
        <v>1412</v>
      </c>
      <c r="L401" s="114">
        <v>1516</v>
      </c>
      <c r="M401" s="57">
        <v>690000003</v>
      </c>
      <c r="N401" s="57">
        <v>0</v>
      </c>
      <c r="O401" s="58">
        <v>690000003</v>
      </c>
      <c r="P401" s="59">
        <v>7.5767877931444003E-2</v>
      </c>
      <c r="Q401" s="59">
        <v>0.57498298010876969</v>
      </c>
      <c r="R401" s="59">
        <v>0.17378513402702114</v>
      </c>
      <c r="S401" s="60">
        <v>0.17546400793276518</v>
      </c>
    </row>
    <row r="402" spans="2:19" ht="12.5" x14ac:dyDescent="0.25">
      <c r="B402" s="51" t="s">
        <v>438</v>
      </c>
      <c r="C402" s="52" t="s">
        <v>179</v>
      </c>
      <c r="D402" s="52" t="s">
        <v>651</v>
      </c>
      <c r="E402" s="52" t="s">
        <v>204</v>
      </c>
      <c r="F402" s="52" t="s">
        <v>24</v>
      </c>
      <c r="G402" s="52" t="s">
        <v>412</v>
      </c>
      <c r="H402" s="53">
        <v>44152</v>
      </c>
      <c r="I402" s="54">
        <v>10.8</v>
      </c>
      <c r="J402" s="55">
        <v>44154</v>
      </c>
      <c r="K402" s="114">
        <v>324</v>
      </c>
      <c r="L402" s="114">
        <v>505</v>
      </c>
      <c r="M402" s="57">
        <v>510300000</v>
      </c>
      <c r="N402" s="57">
        <v>0</v>
      </c>
      <c r="O402" s="58">
        <v>510300000</v>
      </c>
      <c r="P402" s="59">
        <v>2.8301164021164015E-3</v>
      </c>
      <c r="Q402" s="59">
        <v>0.41647214814814815</v>
      </c>
      <c r="R402" s="59">
        <v>0.50764852910052904</v>
      </c>
      <c r="S402" s="60">
        <v>7.3049206349206336E-2</v>
      </c>
    </row>
    <row r="403" spans="2:19" ht="12.5" x14ac:dyDescent="0.25">
      <c r="B403" s="51" t="s">
        <v>403</v>
      </c>
      <c r="C403" s="52" t="s">
        <v>179</v>
      </c>
      <c r="D403" s="52" t="s">
        <v>614</v>
      </c>
      <c r="E403" s="52" t="s">
        <v>190</v>
      </c>
      <c r="F403" s="52" t="s">
        <v>24</v>
      </c>
      <c r="G403" s="52" t="s">
        <v>412</v>
      </c>
      <c r="H403" s="53">
        <v>44168</v>
      </c>
      <c r="I403" s="54">
        <v>34</v>
      </c>
      <c r="J403" s="55">
        <v>44172</v>
      </c>
      <c r="K403" s="114">
        <v>0</v>
      </c>
      <c r="L403" s="114">
        <v>297</v>
      </c>
      <c r="M403" s="57">
        <v>918000000</v>
      </c>
      <c r="N403" s="57">
        <v>0</v>
      </c>
      <c r="O403" s="58">
        <v>918000000</v>
      </c>
      <c r="P403" s="59">
        <v>0</v>
      </c>
      <c r="Q403" s="59">
        <v>0.45037037037037037</v>
      </c>
      <c r="R403" s="59">
        <v>0.12278966666666667</v>
      </c>
      <c r="S403" s="60">
        <v>0.42683996296296295</v>
      </c>
    </row>
    <row r="404" spans="2:19" ht="12.5" x14ac:dyDescent="0.25">
      <c r="B404" s="51" t="s">
        <v>440</v>
      </c>
      <c r="C404" s="52" t="s">
        <v>179</v>
      </c>
      <c r="D404" s="52" t="s">
        <v>654</v>
      </c>
      <c r="E404" s="52" t="s">
        <v>497</v>
      </c>
      <c r="F404" s="52" t="s">
        <v>24</v>
      </c>
      <c r="G404" s="52" t="s">
        <v>412</v>
      </c>
      <c r="H404" s="53">
        <v>44166</v>
      </c>
      <c r="I404" s="54">
        <v>69.5</v>
      </c>
      <c r="J404" s="55">
        <v>44168</v>
      </c>
      <c r="K404" s="114">
        <v>0</v>
      </c>
      <c r="L404" s="114">
        <v>436</v>
      </c>
      <c r="M404" s="57">
        <v>0</v>
      </c>
      <c r="N404" s="57">
        <v>3753000000</v>
      </c>
      <c r="O404" s="58">
        <v>3753000000</v>
      </c>
      <c r="P404" s="59">
        <v>7.6444444444444438E-5</v>
      </c>
      <c r="Q404" s="59">
        <v>0.46638235185185184</v>
      </c>
      <c r="R404" s="59">
        <v>0.53335601851851855</v>
      </c>
      <c r="S404" s="60">
        <v>1.8518518518518518E-4</v>
      </c>
    </row>
    <row r="405" spans="2:19" ht="12.5" x14ac:dyDescent="0.25">
      <c r="B405" s="51" t="s">
        <v>498</v>
      </c>
      <c r="C405" s="52" t="s">
        <v>179</v>
      </c>
      <c r="D405" s="52" t="s">
        <v>655</v>
      </c>
      <c r="E405" s="52" t="s">
        <v>499</v>
      </c>
      <c r="F405" s="52" t="s">
        <v>23</v>
      </c>
      <c r="G405" s="52" t="s">
        <v>412</v>
      </c>
      <c r="H405" s="53">
        <v>44174</v>
      </c>
      <c r="I405" s="54">
        <v>29.5</v>
      </c>
      <c r="J405" s="55">
        <v>44172</v>
      </c>
      <c r="K405" s="114">
        <v>6</v>
      </c>
      <c r="L405" s="114">
        <v>39</v>
      </c>
      <c r="M405" s="57">
        <v>305992585</v>
      </c>
      <c r="N405" s="57">
        <v>0</v>
      </c>
      <c r="O405" s="58">
        <v>305992585</v>
      </c>
      <c r="P405" s="59">
        <v>1.6666939821433909E-2</v>
      </c>
      <c r="Q405" s="59">
        <v>0.80600194936096248</v>
      </c>
      <c r="R405" s="59">
        <v>4.4752391630666473E-2</v>
      </c>
      <c r="S405" s="60">
        <v>0.13257871918693717</v>
      </c>
    </row>
    <row r="406" spans="2:19" ht="12.5" x14ac:dyDescent="0.25">
      <c r="B406" s="51" t="s">
        <v>500</v>
      </c>
      <c r="C406" s="52" t="s">
        <v>179</v>
      </c>
      <c r="D406" s="52" t="s">
        <v>654</v>
      </c>
      <c r="E406" s="52" t="s">
        <v>461</v>
      </c>
      <c r="F406" s="52" t="s">
        <v>23</v>
      </c>
      <c r="G406" s="52" t="s">
        <v>181</v>
      </c>
      <c r="H406" s="53">
        <v>44174</v>
      </c>
      <c r="I406" s="54">
        <v>57.92</v>
      </c>
      <c r="J406" s="55">
        <v>44175</v>
      </c>
      <c r="K406" s="114">
        <v>41258</v>
      </c>
      <c r="L406" s="114">
        <v>43237</v>
      </c>
      <c r="M406" s="57">
        <v>8437640047.04</v>
      </c>
      <c r="N406" s="57">
        <v>2953173990.4000001</v>
      </c>
      <c r="O406" s="58">
        <v>11390814037.440001</v>
      </c>
      <c r="P406" s="59">
        <v>0.10520653062907245</v>
      </c>
      <c r="Q406" s="59">
        <v>0.41673076945665166</v>
      </c>
      <c r="R406" s="59">
        <v>0.47035108864301139</v>
      </c>
      <c r="S406" s="60">
        <v>7.7116112712644833E-3</v>
      </c>
    </row>
    <row r="407" spans="2:19" ht="12.5" x14ac:dyDescent="0.25">
      <c r="B407" s="51" t="s">
        <v>501</v>
      </c>
      <c r="C407" s="52" t="s">
        <v>179</v>
      </c>
      <c r="D407" s="52" t="s">
        <v>657</v>
      </c>
      <c r="E407" s="52" t="s">
        <v>202</v>
      </c>
      <c r="F407" s="52" t="s">
        <v>23</v>
      </c>
      <c r="G407" s="52" t="s">
        <v>181</v>
      </c>
      <c r="H407" s="53">
        <v>44180</v>
      </c>
      <c r="I407" s="54">
        <v>4.5</v>
      </c>
      <c r="J407" s="55">
        <v>44183</v>
      </c>
      <c r="K407" s="114">
        <v>2747</v>
      </c>
      <c r="L407" s="114">
        <v>2964</v>
      </c>
      <c r="M407" s="57">
        <v>337500000</v>
      </c>
      <c r="N407" s="57">
        <v>148950000</v>
      </c>
      <c r="O407" s="58">
        <v>486450000</v>
      </c>
      <c r="P407" s="59">
        <v>0.18062240518038852</v>
      </c>
      <c r="Q407" s="59">
        <v>0.54608746530989827</v>
      </c>
      <c r="R407" s="59">
        <v>0.26540198889916744</v>
      </c>
      <c r="S407" s="60">
        <v>7.8881406105457911E-3</v>
      </c>
    </row>
    <row r="408" spans="2:19" ht="12.5" x14ac:dyDescent="0.25">
      <c r="B408" s="51" t="s">
        <v>345</v>
      </c>
      <c r="C408" s="52" t="s">
        <v>179</v>
      </c>
      <c r="D408" s="52" t="s">
        <v>584</v>
      </c>
      <c r="E408" s="52" t="s">
        <v>204</v>
      </c>
      <c r="F408" s="52" t="s">
        <v>24</v>
      </c>
      <c r="G408" s="52" t="s">
        <v>412</v>
      </c>
      <c r="H408" s="53">
        <v>44215</v>
      </c>
      <c r="I408" s="54">
        <v>20</v>
      </c>
      <c r="J408" s="55">
        <v>44217</v>
      </c>
      <c r="K408" s="114">
        <v>278</v>
      </c>
      <c r="L408" s="114">
        <v>663</v>
      </c>
      <c r="M408" s="57">
        <v>1372425280</v>
      </c>
      <c r="N408" s="57">
        <v>1372425280</v>
      </c>
      <c r="O408" s="58">
        <v>2744850560</v>
      </c>
      <c r="P408" s="59">
        <v>3.2416190992926039E-3</v>
      </c>
      <c r="Q408" s="59">
        <v>0.65935919658955855</v>
      </c>
      <c r="R408" s="59">
        <v>0.33726310404308496</v>
      </c>
      <c r="S408" s="60">
        <v>1.3608026806384679E-4</v>
      </c>
    </row>
    <row r="409" spans="2:19" ht="12.5" x14ac:dyDescent="0.25">
      <c r="B409" s="51" t="s">
        <v>502</v>
      </c>
      <c r="C409" s="52" t="s">
        <v>179</v>
      </c>
      <c r="D409" s="52" t="s">
        <v>603</v>
      </c>
      <c r="E409" s="52" t="s">
        <v>190</v>
      </c>
      <c r="F409" s="52" t="s">
        <v>23</v>
      </c>
      <c r="G409" s="52" t="s">
        <v>412</v>
      </c>
      <c r="H409" s="53">
        <v>44217</v>
      </c>
      <c r="I409" s="54">
        <v>19.100000000000001</v>
      </c>
      <c r="J409" s="55">
        <v>44222</v>
      </c>
      <c r="K409" s="114">
        <v>0</v>
      </c>
      <c r="L409" s="114">
        <v>31</v>
      </c>
      <c r="M409" s="57">
        <v>802582000</v>
      </c>
      <c r="N409" s="57">
        <v>0</v>
      </c>
      <c r="O409" s="58">
        <v>802582000</v>
      </c>
      <c r="P409" s="59">
        <v>0</v>
      </c>
      <c r="Q409" s="59">
        <v>0.58781532603522135</v>
      </c>
      <c r="R409" s="59">
        <v>8.7101380295097564E-2</v>
      </c>
      <c r="S409" s="60">
        <v>0.32508329366968108</v>
      </c>
    </row>
    <row r="410" spans="2:19" ht="12.5" x14ac:dyDescent="0.25">
      <c r="B410" s="51" t="s">
        <v>503</v>
      </c>
      <c r="C410" s="52" t="s">
        <v>179</v>
      </c>
      <c r="D410" s="52" t="s">
        <v>643</v>
      </c>
      <c r="E410" s="52" t="s">
        <v>348</v>
      </c>
      <c r="F410" s="52" t="s">
        <v>23</v>
      </c>
      <c r="G410" s="52" t="s">
        <v>412</v>
      </c>
      <c r="H410" s="53">
        <v>44223</v>
      </c>
      <c r="I410" s="54">
        <v>26</v>
      </c>
      <c r="J410" s="55">
        <v>44225</v>
      </c>
      <c r="K410" s="114">
        <v>0</v>
      </c>
      <c r="L410" s="114">
        <v>60</v>
      </c>
      <c r="M410" s="57">
        <v>889598528</v>
      </c>
      <c r="N410" s="57">
        <v>415145952</v>
      </c>
      <c r="O410" s="58">
        <v>1304744480</v>
      </c>
      <c r="P410" s="59">
        <v>0</v>
      </c>
      <c r="Q410" s="59">
        <v>0.42894771242872015</v>
      </c>
      <c r="R410" s="59">
        <v>0.5710522875712799</v>
      </c>
      <c r="S410" s="60">
        <v>0</v>
      </c>
    </row>
    <row r="411" spans="2:19" ht="12.5" x14ac:dyDescent="0.25">
      <c r="B411" s="51" t="s">
        <v>427</v>
      </c>
      <c r="C411" s="52" t="s">
        <v>179</v>
      </c>
      <c r="D411" s="52" t="s">
        <v>584</v>
      </c>
      <c r="E411" s="52" t="s">
        <v>204</v>
      </c>
      <c r="F411" s="52" t="s">
        <v>24</v>
      </c>
      <c r="G411" s="52" t="s">
        <v>412</v>
      </c>
      <c r="H411" s="53">
        <v>44224</v>
      </c>
      <c r="I411" s="54">
        <v>39</v>
      </c>
      <c r="J411" s="55">
        <v>44229</v>
      </c>
      <c r="K411" s="114">
        <v>0</v>
      </c>
      <c r="L411" s="114">
        <v>191</v>
      </c>
      <c r="M411" s="57">
        <v>0</v>
      </c>
      <c r="N411" s="57">
        <v>954719922</v>
      </c>
      <c r="O411" s="58">
        <v>954719922</v>
      </c>
      <c r="P411" s="59">
        <v>0</v>
      </c>
      <c r="Q411" s="59">
        <v>0.67180038168303768</v>
      </c>
      <c r="R411" s="59">
        <v>0.31371023804822207</v>
      </c>
      <c r="S411" s="60">
        <v>1.4489380268740217E-2</v>
      </c>
    </row>
    <row r="412" spans="2:19" ht="12.5" x14ac:dyDescent="0.25">
      <c r="B412" s="51" t="s">
        <v>445</v>
      </c>
      <c r="C412" s="52" t="s">
        <v>184</v>
      </c>
      <c r="D412" s="52" t="s">
        <v>591</v>
      </c>
      <c r="E412" s="52" t="s">
        <v>348</v>
      </c>
      <c r="F412" s="52" t="s">
        <v>24</v>
      </c>
      <c r="G412" s="52" t="s">
        <v>412</v>
      </c>
      <c r="H412" s="53">
        <v>44217</v>
      </c>
      <c r="I412" s="54">
        <v>30.84</v>
      </c>
      <c r="J412" s="55">
        <v>44253</v>
      </c>
      <c r="K412" s="114">
        <v>0</v>
      </c>
      <c r="L412" s="114">
        <v>1674</v>
      </c>
      <c r="M412" s="57">
        <v>2570000020.5599999</v>
      </c>
      <c r="N412" s="57">
        <v>0</v>
      </c>
      <c r="O412" s="58">
        <v>2570000020.5599999</v>
      </c>
      <c r="P412" s="59">
        <v>0</v>
      </c>
      <c r="Q412" s="59">
        <v>0.45258476037932194</v>
      </c>
      <c r="R412" s="59">
        <v>0.16418192268654463</v>
      </c>
      <c r="S412" s="60">
        <v>0.38323331693413348</v>
      </c>
    </row>
    <row r="413" spans="2:19" ht="12.5" x14ac:dyDescent="0.25">
      <c r="B413" s="51" t="s">
        <v>504</v>
      </c>
      <c r="C413" s="52" t="s">
        <v>179</v>
      </c>
      <c r="D413" s="52" t="s">
        <v>653</v>
      </c>
      <c r="E413" s="52" t="s">
        <v>348</v>
      </c>
      <c r="F413" s="52" t="s">
        <v>24</v>
      </c>
      <c r="G413" s="52" t="s">
        <v>412</v>
      </c>
      <c r="H413" s="53">
        <v>44224</v>
      </c>
      <c r="I413" s="54">
        <v>69</v>
      </c>
      <c r="J413" s="55">
        <v>44228</v>
      </c>
      <c r="K413" s="114">
        <v>0</v>
      </c>
      <c r="L413" s="114">
        <v>1499</v>
      </c>
      <c r="M413" s="57">
        <v>2049300000</v>
      </c>
      <c r="N413" s="57">
        <v>0</v>
      </c>
      <c r="O413" s="58">
        <v>2049300000</v>
      </c>
      <c r="P413" s="59">
        <v>0</v>
      </c>
      <c r="Q413" s="59">
        <v>0.55884619528619528</v>
      </c>
      <c r="R413" s="59">
        <v>0.1538776430976431</v>
      </c>
      <c r="S413" s="60">
        <v>0.2872761616161616</v>
      </c>
    </row>
    <row r="414" spans="2:19" ht="12.5" x14ac:dyDescent="0.25">
      <c r="B414" s="51" t="s">
        <v>237</v>
      </c>
      <c r="C414" s="52" t="s">
        <v>179</v>
      </c>
      <c r="D414" s="52" t="s">
        <v>627</v>
      </c>
      <c r="E414" s="52" t="s">
        <v>348</v>
      </c>
      <c r="F414" s="52" t="s">
        <v>24</v>
      </c>
      <c r="G414" s="52" t="s">
        <v>412</v>
      </c>
      <c r="H414" s="53">
        <v>44230</v>
      </c>
      <c r="I414" s="54">
        <v>22</v>
      </c>
      <c r="J414" s="55">
        <v>44232</v>
      </c>
      <c r="K414" s="114">
        <v>0</v>
      </c>
      <c r="L414" s="114">
        <v>550</v>
      </c>
      <c r="M414" s="57">
        <v>440000000</v>
      </c>
      <c r="N414" s="57">
        <v>60177810</v>
      </c>
      <c r="O414" s="58">
        <v>500177810</v>
      </c>
      <c r="P414" s="59">
        <v>0</v>
      </c>
      <c r="Q414" s="59">
        <v>0.37493969194674992</v>
      </c>
      <c r="R414" s="59">
        <v>0.48234940690391681</v>
      </c>
      <c r="S414" s="60">
        <v>0.14271090114933327</v>
      </c>
    </row>
    <row r="415" spans="2:19" ht="12.5" x14ac:dyDescent="0.25">
      <c r="B415" s="51" t="s">
        <v>464</v>
      </c>
      <c r="C415" s="52" t="s">
        <v>179</v>
      </c>
      <c r="D415" s="52" t="s">
        <v>597</v>
      </c>
      <c r="E415" s="52" t="s">
        <v>204</v>
      </c>
      <c r="F415" s="52" t="s">
        <v>24</v>
      </c>
      <c r="G415" s="52" t="s">
        <v>412</v>
      </c>
      <c r="H415" s="53">
        <v>44236</v>
      </c>
      <c r="I415" s="54">
        <v>30</v>
      </c>
      <c r="J415" s="55">
        <v>44238</v>
      </c>
      <c r="K415" s="114">
        <v>1530</v>
      </c>
      <c r="L415" s="114">
        <v>2638</v>
      </c>
      <c r="M415" s="57">
        <v>2346000000</v>
      </c>
      <c r="N415" s="57">
        <v>408000000</v>
      </c>
      <c r="O415" s="58">
        <v>2754000000</v>
      </c>
      <c r="P415" s="59">
        <v>6.4046949891067538E-3</v>
      </c>
      <c r="Q415" s="59">
        <v>0.37809911764705884</v>
      </c>
      <c r="R415" s="59">
        <v>0.6119605664488017</v>
      </c>
      <c r="S415" s="60">
        <v>3.5356209150326796E-3</v>
      </c>
    </row>
    <row r="416" spans="2:19" ht="12.5" x14ac:dyDescent="0.25">
      <c r="B416" s="51" t="s">
        <v>505</v>
      </c>
      <c r="C416" s="52" t="s">
        <v>179</v>
      </c>
      <c r="D416" s="52" t="s">
        <v>593</v>
      </c>
      <c r="E416" s="52" t="s">
        <v>204</v>
      </c>
      <c r="F416" s="52" t="s">
        <v>23</v>
      </c>
      <c r="G416" s="52" t="s">
        <v>181</v>
      </c>
      <c r="H416" s="53">
        <v>44224</v>
      </c>
      <c r="I416" s="54">
        <v>17.899999999999999</v>
      </c>
      <c r="J416" s="55">
        <v>44228</v>
      </c>
      <c r="K416" s="114">
        <v>7135</v>
      </c>
      <c r="L416" s="114">
        <v>7837</v>
      </c>
      <c r="M416" s="57">
        <v>1199999997.3999999</v>
      </c>
      <c r="N416" s="57">
        <v>1441623254.7999997</v>
      </c>
      <c r="O416" s="58">
        <v>2641623252.1999998</v>
      </c>
      <c r="P416" s="59">
        <v>9.7176107412823759E-2</v>
      </c>
      <c r="Q416" s="59">
        <v>0.62087119324607831</v>
      </c>
      <c r="R416" s="59">
        <v>0.27451244714630396</v>
      </c>
      <c r="S416" s="60">
        <v>7.440252194794033E-3</v>
      </c>
    </row>
    <row r="417" spans="2:19" ht="12.5" x14ac:dyDescent="0.25">
      <c r="B417" s="51" t="s">
        <v>506</v>
      </c>
      <c r="C417" s="52" t="s">
        <v>179</v>
      </c>
      <c r="D417" s="52" t="s">
        <v>609</v>
      </c>
      <c r="E417" s="52" t="s">
        <v>348</v>
      </c>
      <c r="F417" s="52" t="s">
        <v>23</v>
      </c>
      <c r="G417" s="52" t="s">
        <v>181</v>
      </c>
      <c r="H417" s="53">
        <v>44229</v>
      </c>
      <c r="I417" s="54">
        <v>15.75</v>
      </c>
      <c r="J417" s="55">
        <v>44231</v>
      </c>
      <c r="K417" s="114">
        <v>16772</v>
      </c>
      <c r="L417" s="114">
        <v>17280</v>
      </c>
      <c r="M417" s="57">
        <v>724500000</v>
      </c>
      <c r="N417" s="57">
        <v>579600000</v>
      </c>
      <c r="O417" s="58">
        <v>1304100000</v>
      </c>
      <c r="P417" s="59">
        <v>0.11571812801932367</v>
      </c>
      <c r="Q417" s="59">
        <v>0.7701834541062802</v>
      </c>
      <c r="R417" s="59">
        <v>0.12442478260869565</v>
      </c>
      <c r="S417" s="60">
        <v>0</v>
      </c>
    </row>
    <row r="418" spans="2:19" ht="12.5" x14ac:dyDescent="0.25">
      <c r="B418" s="51" t="s">
        <v>507</v>
      </c>
      <c r="C418" s="52" t="s">
        <v>179</v>
      </c>
      <c r="D418" s="52" t="s">
        <v>597</v>
      </c>
      <c r="E418" s="52" t="s">
        <v>348</v>
      </c>
      <c r="F418" s="52" t="s">
        <v>23</v>
      </c>
      <c r="G418" s="52" t="s">
        <v>181</v>
      </c>
      <c r="H418" s="53">
        <v>44230</v>
      </c>
      <c r="I418" s="54">
        <v>19.8</v>
      </c>
      <c r="J418" s="55">
        <v>44232</v>
      </c>
      <c r="K418" s="114">
        <v>31017</v>
      </c>
      <c r="L418" s="114">
        <v>32377</v>
      </c>
      <c r="M418" s="57">
        <v>578571444</v>
      </c>
      <c r="N418" s="57">
        <v>636428667.60000002</v>
      </c>
      <c r="O418" s="58">
        <v>1215000111.5999999</v>
      </c>
      <c r="P418" s="59">
        <v>0.11398399397480351</v>
      </c>
      <c r="Q418" s="59">
        <v>0.72383819721782483</v>
      </c>
      <c r="R418" s="59">
        <v>0.15387323327386596</v>
      </c>
      <c r="S418" s="60">
        <v>8.3045755335056544E-3</v>
      </c>
    </row>
    <row r="419" spans="2:19" ht="12.5" x14ac:dyDescent="0.25">
      <c r="B419" s="51" t="s">
        <v>508</v>
      </c>
      <c r="C419" s="52" t="s">
        <v>179</v>
      </c>
      <c r="D419" s="52" t="s">
        <v>597</v>
      </c>
      <c r="E419" s="52" t="s">
        <v>185</v>
      </c>
      <c r="F419" s="52" t="s">
        <v>23</v>
      </c>
      <c r="G419" s="52" t="s">
        <v>181</v>
      </c>
      <c r="H419" s="53">
        <v>44230</v>
      </c>
      <c r="I419" s="54">
        <v>21</v>
      </c>
      <c r="J419" s="55">
        <v>44232</v>
      </c>
      <c r="K419" s="114">
        <v>3249</v>
      </c>
      <c r="L419" s="114">
        <v>3591</v>
      </c>
      <c r="M419" s="57">
        <v>777777798</v>
      </c>
      <c r="N419" s="57">
        <v>155555547</v>
      </c>
      <c r="O419" s="58">
        <v>933333345</v>
      </c>
      <c r="P419" s="59">
        <v>9.5778246302771916E-2</v>
      </c>
      <c r="Q419" s="59">
        <v>0.37631791779602602</v>
      </c>
      <c r="R419" s="59">
        <v>0.44151364698107942</v>
      </c>
      <c r="S419" s="60">
        <v>8.6390188920122638E-2</v>
      </c>
    </row>
    <row r="420" spans="2:19" ht="12.5" x14ac:dyDescent="0.25">
      <c r="B420" s="51" t="s">
        <v>509</v>
      </c>
      <c r="C420" s="52" t="s">
        <v>179</v>
      </c>
      <c r="D420" s="52" t="s">
        <v>658</v>
      </c>
      <c r="E420" s="52" t="s">
        <v>457</v>
      </c>
      <c r="F420" s="52" t="s">
        <v>23</v>
      </c>
      <c r="G420" s="52" t="s">
        <v>181</v>
      </c>
      <c r="H420" s="53">
        <v>44231</v>
      </c>
      <c r="I420" s="54">
        <v>8.3000000000000007</v>
      </c>
      <c r="J420" s="55">
        <v>44235</v>
      </c>
      <c r="K420" s="114">
        <v>3985</v>
      </c>
      <c r="L420" s="114">
        <v>4465</v>
      </c>
      <c r="M420" s="57">
        <v>552760005.30000007</v>
      </c>
      <c r="N420" s="57">
        <v>138189995.10000002</v>
      </c>
      <c r="O420" s="58">
        <v>690950000.4000001</v>
      </c>
      <c r="P420" s="59">
        <v>9.4690080946900818E-2</v>
      </c>
      <c r="Q420" s="59">
        <v>0.59891578348915786</v>
      </c>
      <c r="R420" s="59">
        <v>0.29106532416065323</v>
      </c>
      <c r="S420" s="60">
        <v>1.5328811403288112E-2</v>
      </c>
    </row>
    <row r="421" spans="2:19" ht="12.5" x14ac:dyDescent="0.25">
      <c r="B421" s="51" t="s">
        <v>510</v>
      </c>
      <c r="C421" s="52" t="s">
        <v>179</v>
      </c>
      <c r="D421" s="52" t="s">
        <v>584</v>
      </c>
      <c r="E421" s="52" t="s">
        <v>185</v>
      </c>
      <c r="F421" s="52" t="s">
        <v>23</v>
      </c>
      <c r="G421" s="52" t="s">
        <v>181</v>
      </c>
      <c r="H421" s="53">
        <v>44217</v>
      </c>
      <c r="I421" s="54">
        <v>18.02</v>
      </c>
      <c r="J421" s="55">
        <v>44235</v>
      </c>
      <c r="K421" s="114">
        <v>1776</v>
      </c>
      <c r="L421" s="114">
        <v>2019</v>
      </c>
      <c r="M421" s="57">
        <v>764999996.60000002</v>
      </c>
      <c r="N421" s="57">
        <v>7649994.5599999996</v>
      </c>
      <c r="O421" s="58">
        <v>772649991.15999997</v>
      </c>
      <c r="P421" s="59">
        <v>0.10764379418113598</v>
      </c>
      <c r="Q421" s="59">
        <v>0.41945926921486615</v>
      </c>
      <c r="R421" s="59">
        <v>0.46889423843689226</v>
      </c>
      <c r="S421" s="60">
        <v>4.0026981671056321E-3</v>
      </c>
    </row>
    <row r="422" spans="2:19" ht="12.5" x14ac:dyDescent="0.25">
      <c r="B422" s="51" t="s">
        <v>296</v>
      </c>
      <c r="C422" s="52" t="s">
        <v>179</v>
      </c>
      <c r="D422" s="52" t="s">
        <v>614</v>
      </c>
      <c r="E422" s="52" t="s">
        <v>348</v>
      </c>
      <c r="F422" s="52" t="s">
        <v>23</v>
      </c>
      <c r="G422" s="52" t="s">
        <v>181</v>
      </c>
      <c r="H422" s="53">
        <v>44236</v>
      </c>
      <c r="I422" s="54">
        <v>14</v>
      </c>
      <c r="J422" s="55">
        <v>44238</v>
      </c>
      <c r="K422" s="114">
        <v>2517</v>
      </c>
      <c r="L422" s="114">
        <v>2763</v>
      </c>
      <c r="M422" s="57">
        <v>1071000000</v>
      </c>
      <c r="N422" s="57">
        <v>160650000</v>
      </c>
      <c r="O422" s="58">
        <v>1231650000</v>
      </c>
      <c r="P422" s="59">
        <v>8.5581823070060736E-2</v>
      </c>
      <c r="Q422" s="59">
        <v>0.51325041651900105</v>
      </c>
      <c r="R422" s="59">
        <v>0.29283083218255956</v>
      </c>
      <c r="S422" s="60">
        <v>4.2601339378459963E-3</v>
      </c>
    </row>
    <row r="423" spans="2:19" ht="12.5" x14ac:dyDescent="0.25">
      <c r="B423" s="51" t="s">
        <v>511</v>
      </c>
      <c r="C423" s="52" t="s">
        <v>179</v>
      </c>
      <c r="D423" s="52" t="s">
        <v>659</v>
      </c>
      <c r="E423" s="52" t="s">
        <v>204</v>
      </c>
      <c r="F423" s="52" t="s">
        <v>23</v>
      </c>
      <c r="G423" s="52" t="s">
        <v>181</v>
      </c>
      <c r="H423" s="53">
        <v>44237</v>
      </c>
      <c r="I423" s="54">
        <v>11.15</v>
      </c>
      <c r="J423" s="55">
        <v>44239</v>
      </c>
      <c r="K423" s="114">
        <v>2831</v>
      </c>
      <c r="L423" s="114">
        <v>3114</v>
      </c>
      <c r="M423" s="57">
        <v>800000000.85000002</v>
      </c>
      <c r="N423" s="57">
        <v>270000004.05000001</v>
      </c>
      <c r="O423" s="58">
        <v>1070000004.9000001</v>
      </c>
      <c r="P423" s="59">
        <v>0.11195127376869271</v>
      </c>
      <c r="Q423" s="59">
        <v>0.76251232897545029</v>
      </c>
      <c r="R423" s="59">
        <v>0.12184188130112092</v>
      </c>
      <c r="S423" s="60">
        <v>3.6945159547361181E-3</v>
      </c>
    </row>
    <row r="424" spans="2:19" ht="12.5" x14ac:dyDescent="0.25">
      <c r="B424" s="51" t="s">
        <v>512</v>
      </c>
      <c r="C424" s="52" t="s">
        <v>179</v>
      </c>
      <c r="D424" s="52" t="s">
        <v>586</v>
      </c>
      <c r="E424" s="52" t="s">
        <v>202</v>
      </c>
      <c r="F424" s="52" t="s">
        <v>23</v>
      </c>
      <c r="G424" s="52" t="s">
        <v>181</v>
      </c>
      <c r="H424" s="53">
        <v>44238</v>
      </c>
      <c r="I424" s="54">
        <v>22</v>
      </c>
      <c r="J424" s="55">
        <v>44244</v>
      </c>
      <c r="K424" s="114">
        <v>4867</v>
      </c>
      <c r="L424" s="114">
        <v>5233</v>
      </c>
      <c r="M424" s="57">
        <v>381399040</v>
      </c>
      <c r="N424" s="57">
        <v>105465778</v>
      </c>
      <c r="O424" s="58">
        <v>486864818</v>
      </c>
      <c r="P424" s="59">
        <v>0.16893483180195071</v>
      </c>
      <c r="Q424" s="59">
        <v>0.52484073412799037</v>
      </c>
      <c r="R424" s="59">
        <v>0.28380371990175757</v>
      </c>
      <c r="S424" s="60">
        <v>2.2420714168301346E-2</v>
      </c>
    </row>
    <row r="425" spans="2:19" ht="12.5" x14ac:dyDescent="0.25">
      <c r="B425" s="51" t="s">
        <v>513</v>
      </c>
      <c r="C425" s="52" t="s">
        <v>179</v>
      </c>
      <c r="D425" s="52" t="s">
        <v>660</v>
      </c>
      <c r="E425" s="52" t="s">
        <v>185</v>
      </c>
      <c r="F425" s="52" t="s">
        <v>23</v>
      </c>
      <c r="G425" s="52" t="s">
        <v>181</v>
      </c>
      <c r="H425" s="53">
        <v>44238</v>
      </c>
      <c r="I425" s="54">
        <v>17.809999999999999</v>
      </c>
      <c r="J425" s="55">
        <v>44244</v>
      </c>
      <c r="K425" s="114">
        <v>2769</v>
      </c>
      <c r="L425" s="114">
        <v>3019</v>
      </c>
      <c r="M425" s="57">
        <v>700000001.21999991</v>
      </c>
      <c r="N425" s="57">
        <v>57944300.699999996</v>
      </c>
      <c r="O425" s="58">
        <v>757944301.91999996</v>
      </c>
      <c r="P425" s="59">
        <v>9.0998319276082373E-2</v>
      </c>
      <c r="Q425" s="59">
        <v>0.49990118677220252</v>
      </c>
      <c r="R425" s="59">
        <v>0.40461818209161043</v>
      </c>
      <c r="S425" s="60">
        <v>4.4823118601046621E-3</v>
      </c>
    </row>
    <row r="426" spans="2:19" ht="12.5" x14ac:dyDescent="0.25">
      <c r="B426" s="51" t="s">
        <v>514</v>
      </c>
      <c r="C426" s="52" t="s">
        <v>179</v>
      </c>
      <c r="D426" s="52" t="s">
        <v>597</v>
      </c>
      <c r="E426" s="52" t="s">
        <v>348</v>
      </c>
      <c r="F426" s="52" t="s">
        <v>23</v>
      </c>
      <c r="G426" s="52" t="s">
        <v>181</v>
      </c>
      <c r="H426" s="53">
        <v>44235</v>
      </c>
      <c r="I426" s="54">
        <v>22</v>
      </c>
      <c r="J426" s="55">
        <v>44237</v>
      </c>
      <c r="K426" s="114">
        <v>12697</v>
      </c>
      <c r="L426" s="114">
        <v>13620</v>
      </c>
      <c r="M426" s="57">
        <v>1094117684</v>
      </c>
      <c r="N426" s="57">
        <v>164117646</v>
      </c>
      <c r="O426" s="58">
        <v>1258235330</v>
      </c>
      <c r="P426" s="59">
        <v>0.11008118807155097</v>
      </c>
      <c r="Q426" s="59">
        <v>0.76181171609606602</v>
      </c>
      <c r="R426" s="59">
        <v>0.12747788762218273</v>
      </c>
      <c r="S426" s="60">
        <v>6.2920821020023333E-4</v>
      </c>
    </row>
    <row r="427" spans="2:19" ht="12.5" x14ac:dyDescent="0.25">
      <c r="B427" s="51" t="s">
        <v>515</v>
      </c>
      <c r="C427" s="52" t="s">
        <v>184</v>
      </c>
      <c r="D427" s="52" t="s">
        <v>604</v>
      </c>
      <c r="E427" s="52" t="s">
        <v>185</v>
      </c>
      <c r="F427" s="52" t="s">
        <v>23</v>
      </c>
      <c r="G427" s="52" t="s">
        <v>181</v>
      </c>
      <c r="H427" s="53">
        <v>44239</v>
      </c>
      <c r="I427" s="54">
        <v>8.5</v>
      </c>
      <c r="J427" s="55">
        <v>44245</v>
      </c>
      <c r="K427" s="114">
        <v>66255</v>
      </c>
      <c r="L427" s="114">
        <v>67524</v>
      </c>
      <c r="M427" s="57">
        <v>1796903408.5</v>
      </c>
      <c r="N427" s="57">
        <v>3168372815.5</v>
      </c>
      <c r="O427" s="58">
        <v>4965276224</v>
      </c>
      <c r="P427" s="59">
        <v>0.19860505953031804</v>
      </c>
      <c r="Q427" s="59">
        <v>0.28802972580913372</v>
      </c>
      <c r="R427" s="59">
        <v>0.50339133138008563</v>
      </c>
      <c r="S427" s="60">
        <v>9.9738832804625952E-3</v>
      </c>
    </row>
    <row r="428" spans="2:19" ht="12.5" x14ac:dyDescent="0.25">
      <c r="B428" s="51" t="s">
        <v>516</v>
      </c>
      <c r="C428" s="52" t="s">
        <v>179</v>
      </c>
      <c r="D428" s="52" t="s">
        <v>597</v>
      </c>
      <c r="E428" s="52" t="s">
        <v>348</v>
      </c>
      <c r="F428" s="52" t="s">
        <v>23</v>
      </c>
      <c r="G428" s="52" t="s">
        <v>181</v>
      </c>
      <c r="H428" s="53">
        <v>44235</v>
      </c>
      <c r="I428" s="54">
        <v>13</v>
      </c>
      <c r="J428" s="55">
        <v>44238</v>
      </c>
      <c r="K428" s="114">
        <v>8368</v>
      </c>
      <c r="L428" s="114">
        <v>9130</v>
      </c>
      <c r="M428" s="57">
        <v>430294306</v>
      </c>
      <c r="N428" s="57">
        <v>602412018</v>
      </c>
      <c r="O428" s="58">
        <v>1032706324</v>
      </c>
      <c r="P428" s="59">
        <v>0.12000294375613077</v>
      </c>
      <c r="Q428" s="59">
        <v>0.76901535766122264</v>
      </c>
      <c r="R428" s="59">
        <v>0.11066362342766184</v>
      </c>
      <c r="S428" s="60">
        <v>3.1807515498470966E-4</v>
      </c>
    </row>
    <row r="429" spans="2:19" ht="12.5" x14ac:dyDescent="0.25">
      <c r="B429" s="51" t="s">
        <v>496</v>
      </c>
      <c r="C429" s="52" t="s">
        <v>179</v>
      </c>
      <c r="D429" s="52" t="s">
        <v>653</v>
      </c>
      <c r="E429" s="52" t="s">
        <v>348</v>
      </c>
      <c r="F429" s="52" t="s">
        <v>24</v>
      </c>
      <c r="G429" s="52" t="s">
        <v>412</v>
      </c>
      <c r="H429" s="53">
        <v>44285</v>
      </c>
      <c r="I429" s="54">
        <v>36</v>
      </c>
      <c r="J429" s="55">
        <v>44287</v>
      </c>
      <c r="K429" s="114">
        <v>0</v>
      </c>
      <c r="L429" s="114">
        <v>1184</v>
      </c>
      <c r="M429" s="57">
        <v>822798000</v>
      </c>
      <c r="N429" s="57">
        <v>0</v>
      </c>
      <c r="O429" s="58">
        <v>822798000</v>
      </c>
      <c r="P429" s="59">
        <v>9.6256918466014745E-5</v>
      </c>
      <c r="Q429" s="59">
        <v>0.6228496860711864</v>
      </c>
      <c r="R429" s="59">
        <v>0.23298549583251296</v>
      </c>
      <c r="S429" s="60">
        <v>0.14406856117783465</v>
      </c>
    </row>
    <row r="430" spans="2:19" ht="12.5" x14ac:dyDescent="0.25">
      <c r="B430" s="51" t="s">
        <v>197</v>
      </c>
      <c r="C430" s="52" t="s">
        <v>210</v>
      </c>
      <c r="D430" s="52" t="s">
        <v>587</v>
      </c>
      <c r="E430" s="52" t="s">
        <v>190</v>
      </c>
      <c r="F430" s="52" t="s">
        <v>24</v>
      </c>
      <c r="G430" s="52" t="s">
        <v>412</v>
      </c>
      <c r="H430" s="53">
        <v>44293</v>
      </c>
      <c r="I430" s="54">
        <v>58</v>
      </c>
      <c r="J430" s="55">
        <v>44294</v>
      </c>
      <c r="K430" s="114">
        <v>35</v>
      </c>
      <c r="L430" s="114">
        <v>287</v>
      </c>
      <c r="M430" s="57">
        <v>3666272974</v>
      </c>
      <c r="N430" s="57">
        <v>120734888</v>
      </c>
      <c r="O430" s="58">
        <v>3787007862</v>
      </c>
      <c r="P430" s="59">
        <v>1.75500559866543E-4</v>
      </c>
      <c r="Q430" s="59">
        <v>0.21457786770235124</v>
      </c>
      <c r="R430" s="59">
        <v>0.52594658384155213</v>
      </c>
      <c r="S430" s="60">
        <v>0.26342822416881478</v>
      </c>
    </row>
    <row r="431" spans="2:19" ht="12.5" x14ac:dyDescent="0.25">
      <c r="B431" s="51" t="s">
        <v>517</v>
      </c>
      <c r="C431" s="52" t="s">
        <v>179</v>
      </c>
      <c r="D431" s="52" t="s">
        <v>639</v>
      </c>
      <c r="E431" s="52" t="s">
        <v>348</v>
      </c>
      <c r="F431" s="52" t="s">
        <v>23</v>
      </c>
      <c r="G431" s="52" t="s">
        <v>412</v>
      </c>
      <c r="H431" s="53">
        <v>44294</v>
      </c>
      <c r="I431" s="54">
        <v>18</v>
      </c>
      <c r="J431" s="55">
        <v>44298</v>
      </c>
      <c r="K431" s="114">
        <v>2</v>
      </c>
      <c r="L431" s="114">
        <v>38</v>
      </c>
      <c r="M431" s="57">
        <v>180000000</v>
      </c>
      <c r="N431" s="57">
        <v>90000000</v>
      </c>
      <c r="O431" s="58">
        <v>270000000</v>
      </c>
      <c r="P431" s="59">
        <v>1.11112E-2</v>
      </c>
      <c r="Q431" s="59">
        <v>0.70435119999999996</v>
      </c>
      <c r="R431" s="59">
        <v>0.14803333333333332</v>
      </c>
      <c r="S431" s="60">
        <v>0</v>
      </c>
    </row>
    <row r="432" spans="2:19" ht="12.5" x14ac:dyDescent="0.25">
      <c r="B432" s="51" t="s">
        <v>518</v>
      </c>
      <c r="C432" s="52" t="s">
        <v>179</v>
      </c>
      <c r="D432" s="52" t="s">
        <v>654</v>
      </c>
      <c r="E432" s="52" t="s">
        <v>348</v>
      </c>
      <c r="F432" s="52" t="s">
        <v>23</v>
      </c>
      <c r="G432" s="52" t="s">
        <v>181</v>
      </c>
      <c r="H432" s="53">
        <v>44300</v>
      </c>
      <c r="I432" s="54">
        <v>17.440000000000001</v>
      </c>
      <c r="J432" s="55">
        <v>44302</v>
      </c>
      <c r="K432" s="114">
        <v>2765</v>
      </c>
      <c r="L432" s="114">
        <v>3069</v>
      </c>
      <c r="M432" s="57">
        <v>1194727566.24</v>
      </c>
      <c r="N432" s="57">
        <v>218399986.40000001</v>
      </c>
      <c r="O432" s="58">
        <v>1413127552.6400001</v>
      </c>
      <c r="P432" s="59">
        <v>9.0488449749932545E-2</v>
      </c>
      <c r="Q432" s="59">
        <v>0.70953329421474343</v>
      </c>
      <c r="R432" s="59">
        <v>0.19014414983468853</v>
      </c>
      <c r="S432" s="60">
        <v>9.8341062006356075E-3</v>
      </c>
    </row>
    <row r="433" spans="2:19" ht="12.5" x14ac:dyDescent="0.25">
      <c r="B433" s="51" t="s">
        <v>519</v>
      </c>
      <c r="C433" s="52" t="s">
        <v>179</v>
      </c>
      <c r="D433" s="52" t="s">
        <v>618</v>
      </c>
      <c r="E433" s="52" t="s">
        <v>204</v>
      </c>
      <c r="F433" s="52" t="s">
        <v>23</v>
      </c>
      <c r="G433" s="52" t="s">
        <v>181</v>
      </c>
      <c r="H433" s="53">
        <v>44294</v>
      </c>
      <c r="I433" s="54">
        <v>40.14</v>
      </c>
      <c r="J433" s="55">
        <v>44305</v>
      </c>
      <c r="K433" s="114">
        <v>1765</v>
      </c>
      <c r="L433" s="114">
        <v>2017</v>
      </c>
      <c r="M433" s="57">
        <v>1260152711.46</v>
      </c>
      <c r="N433" s="57">
        <v>0</v>
      </c>
      <c r="O433" s="58">
        <v>1260152711.46</v>
      </c>
      <c r="P433" s="59">
        <v>5.3142901246001656E-2</v>
      </c>
      <c r="Q433" s="59">
        <v>0.45854825671923494</v>
      </c>
      <c r="R433" s="59">
        <v>0.48559204373812415</v>
      </c>
      <c r="S433" s="60">
        <v>2.7167982966393609E-3</v>
      </c>
    </row>
    <row r="434" spans="2:19" ht="12.5" x14ac:dyDescent="0.25">
      <c r="B434" s="51" t="s">
        <v>520</v>
      </c>
      <c r="C434" s="52" t="s">
        <v>179</v>
      </c>
      <c r="D434" s="52" t="s">
        <v>602</v>
      </c>
      <c r="E434" s="52" t="s">
        <v>204</v>
      </c>
      <c r="F434" s="52" t="s">
        <v>23</v>
      </c>
      <c r="G434" s="52" t="s">
        <v>181</v>
      </c>
      <c r="H434" s="53">
        <v>44308</v>
      </c>
      <c r="I434" s="54">
        <v>12</v>
      </c>
      <c r="J434" s="55">
        <v>44312</v>
      </c>
      <c r="K434" s="114">
        <v>1669</v>
      </c>
      <c r="L434" s="114">
        <v>1994</v>
      </c>
      <c r="M434" s="57">
        <v>1082251080</v>
      </c>
      <c r="N434" s="57">
        <v>1406926404</v>
      </c>
      <c r="O434" s="58">
        <v>2489177484</v>
      </c>
      <c r="P434" s="59">
        <v>3.9643509807675892E-2</v>
      </c>
      <c r="Q434" s="59">
        <v>0.70778085505131461</v>
      </c>
      <c r="R434" s="59">
        <v>0.24847309923682404</v>
      </c>
      <c r="S434" s="60">
        <v>4.1025359041854488E-3</v>
      </c>
    </row>
    <row r="435" spans="2:19" ht="12.5" x14ac:dyDescent="0.25">
      <c r="B435" s="51" t="s">
        <v>521</v>
      </c>
      <c r="C435" s="52" t="s">
        <v>179</v>
      </c>
      <c r="D435" s="52" t="s">
        <v>627</v>
      </c>
      <c r="E435" s="52" t="s">
        <v>457</v>
      </c>
      <c r="F435" s="52" t="s">
        <v>23</v>
      </c>
      <c r="G435" s="52" t="s">
        <v>181</v>
      </c>
      <c r="H435" s="53">
        <v>44313</v>
      </c>
      <c r="I435" s="54">
        <v>9.9</v>
      </c>
      <c r="J435" s="55">
        <v>44315</v>
      </c>
      <c r="K435" s="114">
        <v>15557</v>
      </c>
      <c r="L435" s="114">
        <v>16158</v>
      </c>
      <c r="M435" s="57">
        <v>459999995.39999998</v>
      </c>
      <c r="N435" s="57">
        <v>0</v>
      </c>
      <c r="O435" s="58">
        <v>459999995.39999998</v>
      </c>
      <c r="P435" s="59">
        <v>0.13878153725738057</v>
      </c>
      <c r="Q435" s="59">
        <v>0.69979222482400927</v>
      </c>
      <c r="R435" s="59">
        <v>0.14841638952764213</v>
      </c>
      <c r="S435" s="60">
        <v>1.4447909492305183E-2</v>
      </c>
    </row>
    <row r="436" spans="2:19" ht="12.5" x14ac:dyDescent="0.25">
      <c r="B436" s="51" t="s">
        <v>522</v>
      </c>
      <c r="C436" s="52" t="s">
        <v>179</v>
      </c>
      <c r="D436" s="52" t="s">
        <v>588</v>
      </c>
      <c r="E436" s="52" t="s">
        <v>185</v>
      </c>
      <c r="F436" s="52" t="s">
        <v>23</v>
      </c>
      <c r="G436" s="52" t="s">
        <v>181</v>
      </c>
      <c r="H436" s="53">
        <v>44313</v>
      </c>
      <c r="I436" s="54">
        <v>9.67</v>
      </c>
      <c r="J436" s="55">
        <v>44315</v>
      </c>
      <c r="K436" s="114">
        <v>0</v>
      </c>
      <c r="L436" s="114">
        <v>0</v>
      </c>
      <c r="M436" s="57">
        <v>0</v>
      </c>
      <c r="N436" s="57">
        <v>4351500000</v>
      </c>
      <c r="O436" s="58">
        <v>4351500000</v>
      </c>
      <c r="P436" s="59">
        <v>0</v>
      </c>
      <c r="Q436" s="59">
        <v>0</v>
      </c>
      <c r="R436" s="59">
        <v>0</v>
      </c>
      <c r="S436" s="60">
        <v>0</v>
      </c>
    </row>
    <row r="437" spans="2:19" ht="12.5" x14ac:dyDescent="0.25">
      <c r="B437" s="51" t="s">
        <v>523</v>
      </c>
      <c r="C437" s="52" t="s">
        <v>184</v>
      </c>
      <c r="D437" s="52" t="s">
        <v>591</v>
      </c>
      <c r="E437" s="52" t="s">
        <v>202</v>
      </c>
      <c r="F437" s="52" t="s">
        <v>23</v>
      </c>
      <c r="G437" s="52" t="s">
        <v>181</v>
      </c>
      <c r="H437" s="53">
        <v>44314</v>
      </c>
      <c r="I437" s="54">
        <v>20.010000000000002</v>
      </c>
      <c r="J437" s="55">
        <v>44316</v>
      </c>
      <c r="K437" s="114">
        <v>4310</v>
      </c>
      <c r="L437" s="114">
        <v>4770</v>
      </c>
      <c r="M437" s="57">
        <v>2477788275</v>
      </c>
      <c r="N437" s="57">
        <v>715357500</v>
      </c>
      <c r="O437" s="58">
        <v>3193145775</v>
      </c>
      <c r="P437" s="59">
        <v>7.2683684162704057E-2</v>
      </c>
      <c r="Q437" s="59">
        <v>0.15698319047763273</v>
      </c>
      <c r="R437" s="59">
        <v>0.12132978162764636</v>
      </c>
      <c r="S437" s="60">
        <v>4.5777447981342947E-3</v>
      </c>
    </row>
    <row r="438" spans="2:19" ht="12.5" x14ac:dyDescent="0.25">
      <c r="B438" s="51" t="s">
        <v>489</v>
      </c>
      <c r="C438" s="52" t="s">
        <v>179</v>
      </c>
      <c r="D438" s="52" t="s">
        <v>602</v>
      </c>
      <c r="E438" s="52" t="s">
        <v>348</v>
      </c>
      <c r="F438" s="52" t="s">
        <v>24</v>
      </c>
      <c r="G438" s="52" t="s">
        <v>412</v>
      </c>
      <c r="H438" s="53">
        <v>44301</v>
      </c>
      <c r="I438" s="54">
        <v>25</v>
      </c>
      <c r="J438" s="55">
        <v>44305</v>
      </c>
      <c r="K438" s="114">
        <v>0</v>
      </c>
      <c r="L438" s="114">
        <v>290</v>
      </c>
      <c r="M438" s="57">
        <v>207182325</v>
      </c>
      <c r="N438" s="57">
        <v>918282900</v>
      </c>
      <c r="O438" s="58">
        <v>1125465225</v>
      </c>
      <c r="P438" s="59">
        <v>0</v>
      </c>
      <c r="Q438" s="59">
        <v>0.37950826068393184</v>
      </c>
      <c r="R438" s="59">
        <v>0.35111595740330404</v>
      </c>
      <c r="S438" s="60">
        <v>6.3493432238210648E-2</v>
      </c>
    </row>
    <row r="439" spans="2:19" ht="12.5" x14ac:dyDescent="0.25">
      <c r="B439" s="51" t="s">
        <v>398</v>
      </c>
      <c r="C439" s="52" t="s">
        <v>184</v>
      </c>
      <c r="D439" s="52" t="s">
        <v>584</v>
      </c>
      <c r="E439" s="52" t="s">
        <v>204</v>
      </c>
      <c r="F439" s="52" t="s">
        <v>24</v>
      </c>
      <c r="G439" s="52" t="s">
        <v>412</v>
      </c>
      <c r="H439" s="53">
        <v>44306</v>
      </c>
      <c r="I439" s="54">
        <v>25.5</v>
      </c>
      <c r="J439" s="55">
        <v>44309</v>
      </c>
      <c r="K439" s="114">
        <v>0</v>
      </c>
      <c r="L439" s="114">
        <v>155</v>
      </c>
      <c r="M439" s="57">
        <v>0</v>
      </c>
      <c r="N439" s="57">
        <v>896650227</v>
      </c>
      <c r="O439" s="58">
        <v>896650227</v>
      </c>
      <c r="P439" s="59">
        <v>0</v>
      </c>
      <c r="Q439" s="59">
        <v>0.80158505218334153</v>
      </c>
      <c r="R439" s="59">
        <v>0.1984149478166585</v>
      </c>
      <c r="S439" s="60">
        <v>0</v>
      </c>
    </row>
    <row r="440" spans="2:19" ht="12.5" x14ac:dyDescent="0.25">
      <c r="B440" s="51" t="s">
        <v>441</v>
      </c>
      <c r="C440" s="52" t="s">
        <v>179</v>
      </c>
      <c r="D440" s="52" t="s">
        <v>587</v>
      </c>
      <c r="E440" s="52" t="s">
        <v>524</v>
      </c>
      <c r="F440" s="52" t="s">
        <v>24</v>
      </c>
      <c r="G440" s="52" t="s">
        <v>412</v>
      </c>
      <c r="H440" s="53">
        <v>44306</v>
      </c>
      <c r="I440" s="54">
        <v>15</v>
      </c>
      <c r="J440" s="55">
        <v>44309</v>
      </c>
      <c r="K440" s="114">
        <v>0</v>
      </c>
      <c r="L440" s="114">
        <v>1058</v>
      </c>
      <c r="M440" s="57">
        <v>2025000000</v>
      </c>
      <c r="N440" s="57">
        <v>675000000</v>
      </c>
      <c r="O440" s="58">
        <v>2700000000</v>
      </c>
      <c r="P440" s="59">
        <v>2.4444444444444445E-5</v>
      </c>
      <c r="Q440" s="59">
        <v>0.60717268888888887</v>
      </c>
      <c r="R440" s="59">
        <v>0.29644723888888891</v>
      </c>
      <c r="S440" s="60">
        <v>9.6355627777777772E-2</v>
      </c>
    </row>
    <row r="441" spans="2:19" ht="12.5" x14ac:dyDescent="0.25">
      <c r="B441" s="51" t="s">
        <v>215</v>
      </c>
      <c r="C441" s="52" t="s">
        <v>179</v>
      </c>
      <c r="D441" s="52" t="s">
        <v>595</v>
      </c>
      <c r="E441" s="52" t="s">
        <v>204</v>
      </c>
      <c r="F441" s="52" t="s">
        <v>24</v>
      </c>
      <c r="G441" s="52" t="s">
        <v>412</v>
      </c>
      <c r="H441" s="53">
        <v>44315</v>
      </c>
      <c r="I441" s="54">
        <v>39</v>
      </c>
      <c r="J441" s="55">
        <v>44319</v>
      </c>
      <c r="K441" s="114">
        <v>2205</v>
      </c>
      <c r="L441" s="114">
        <v>3160</v>
      </c>
      <c r="M441" s="57">
        <v>3978000000</v>
      </c>
      <c r="N441" s="57">
        <v>0</v>
      </c>
      <c r="O441" s="58">
        <v>3978000000</v>
      </c>
      <c r="P441" s="59">
        <v>2.4875882352941177E-3</v>
      </c>
      <c r="Q441" s="59">
        <v>0.50064655882352938</v>
      </c>
      <c r="R441" s="59">
        <v>0.49685275490196079</v>
      </c>
      <c r="S441" s="60">
        <v>1.3098039215686275E-5</v>
      </c>
    </row>
    <row r="442" spans="2:19" ht="12.5" x14ac:dyDescent="0.25">
      <c r="B442" s="51" t="s">
        <v>525</v>
      </c>
      <c r="C442" s="52" t="s">
        <v>179</v>
      </c>
      <c r="D442" s="52" t="s">
        <v>597</v>
      </c>
      <c r="E442" s="52" t="s">
        <v>204</v>
      </c>
      <c r="F442" s="52" t="s">
        <v>23</v>
      </c>
      <c r="G442" s="52" t="s">
        <v>412</v>
      </c>
      <c r="H442" s="53">
        <v>44316</v>
      </c>
      <c r="I442" s="54">
        <v>16</v>
      </c>
      <c r="J442" s="55">
        <v>44320</v>
      </c>
      <c r="K442" s="114">
        <v>1</v>
      </c>
      <c r="L442" s="114">
        <v>137</v>
      </c>
      <c r="M442" s="57">
        <v>902388000</v>
      </c>
      <c r="N442" s="57">
        <v>0</v>
      </c>
      <c r="O442" s="58">
        <v>902388000</v>
      </c>
      <c r="P442" s="59">
        <v>5.5408538234107726E-4</v>
      </c>
      <c r="Q442" s="59">
        <v>0.7127378998834204</v>
      </c>
      <c r="R442" s="59">
        <v>0.39543286479873402</v>
      </c>
      <c r="S442" s="60">
        <v>0</v>
      </c>
    </row>
    <row r="443" spans="2:19" ht="12.5" x14ac:dyDescent="0.25">
      <c r="B443" s="51" t="s">
        <v>526</v>
      </c>
      <c r="C443" s="52" t="s">
        <v>179</v>
      </c>
      <c r="D443" s="52" t="s">
        <v>653</v>
      </c>
      <c r="E443" s="52" t="s">
        <v>204</v>
      </c>
      <c r="F443" s="52" t="s">
        <v>23</v>
      </c>
      <c r="G443" s="52" t="s">
        <v>181</v>
      </c>
      <c r="H443" s="53">
        <v>44319</v>
      </c>
      <c r="I443" s="54">
        <v>14.75</v>
      </c>
      <c r="J443" s="55">
        <v>44321</v>
      </c>
      <c r="K443" s="114">
        <v>2596</v>
      </c>
      <c r="L443" s="114">
        <v>2926</v>
      </c>
      <c r="M443" s="57">
        <v>1187375000</v>
      </c>
      <c r="N443" s="57">
        <v>0</v>
      </c>
      <c r="O443" s="58">
        <v>1187375000</v>
      </c>
      <c r="P443" s="59">
        <v>0.10086165217391305</v>
      </c>
      <c r="Q443" s="59">
        <v>0.78770052173913041</v>
      </c>
      <c r="R443" s="59">
        <v>0.10678592546583851</v>
      </c>
      <c r="S443" s="60">
        <v>4.6519006211180125E-3</v>
      </c>
    </row>
    <row r="444" spans="2:19" ht="12.5" x14ac:dyDescent="0.25">
      <c r="B444" s="51" t="s">
        <v>527</v>
      </c>
      <c r="C444" s="52" t="s">
        <v>179</v>
      </c>
      <c r="D444" s="52" t="s">
        <v>597</v>
      </c>
      <c r="E444" s="52" t="s">
        <v>348</v>
      </c>
      <c r="F444" s="52" t="s">
        <v>23</v>
      </c>
      <c r="G444" s="52" t="s">
        <v>181</v>
      </c>
      <c r="H444" s="53">
        <v>44334</v>
      </c>
      <c r="I444" s="54">
        <v>20</v>
      </c>
      <c r="J444" s="55">
        <v>44333</v>
      </c>
      <c r="K444" s="114">
        <v>1205</v>
      </c>
      <c r="L444" s="114">
        <v>1343</v>
      </c>
      <c r="M444" s="57">
        <v>321285160</v>
      </c>
      <c r="N444" s="57">
        <v>160754620</v>
      </c>
      <c r="O444" s="58">
        <v>482039780</v>
      </c>
      <c r="P444" s="59">
        <v>7.3762630520079406E-2</v>
      </c>
      <c r="Q444" s="59">
        <v>0.79009904540801557</v>
      </c>
      <c r="R444" s="59">
        <v>0.13276912707942881</v>
      </c>
      <c r="S444" s="60">
        <v>3.3691969924762115E-3</v>
      </c>
    </row>
    <row r="445" spans="2:19" ht="12.5" x14ac:dyDescent="0.25">
      <c r="B445" s="51" t="s">
        <v>528</v>
      </c>
      <c r="C445" s="52" t="s">
        <v>240</v>
      </c>
      <c r="D445" s="52" t="s">
        <v>661</v>
      </c>
      <c r="E445" s="52" t="s">
        <v>348</v>
      </c>
      <c r="F445" s="52" t="s">
        <v>23</v>
      </c>
      <c r="G445" s="52" t="s">
        <v>181</v>
      </c>
      <c r="H445" s="53">
        <v>44329</v>
      </c>
      <c r="I445" s="54">
        <v>7.16</v>
      </c>
      <c r="J445" s="55">
        <v>44333</v>
      </c>
      <c r="K445" s="114">
        <v>5124</v>
      </c>
      <c r="L445" s="114">
        <v>5387</v>
      </c>
      <c r="M445" s="57">
        <v>281062399</v>
      </c>
      <c r="N445" s="57">
        <v>0</v>
      </c>
      <c r="O445" s="58">
        <v>281062399</v>
      </c>
      <c r="P445" s="59">
        <v>0.60057128657559644</v>
      </c>
      <c r="Q445" s="59">
        <v>1.8472871634348048E-2</v>
      </c>
      <c r="R445" s="59">
        <v>0.12862930278578835</v>
      </c>
      <c r="S445" s="60">
        <v>0.25232653900426721</v>
      </c>
    </row>
    <row r="446" spans="2:19" ht="12.5" x14ac:dyDescent="0.25">
      <c r="B446" s="51" t="s">
        <v>500</v>
      </c>
      <c r="C446" s="52" t="s">
        <v>179</v>
      </c>
      <c r="D446" s="52" t="s">
        <v>654</v>
      </c>
      <c r="E446" s="52" t="s">
        <v>381</v>
      </c>
      <c r="F446" s="52" t="s">
        <v>24</v>
      </c>
      <c r="G446" s="52" t="s">
        <v>412</v>
      </c>
      <c r="H446" s="53">
        <v>44342</v>
      </c>
      <c r="I446" s="54">
        <v>71</v>
      </c>
      <c r="J446" s="55">
        <v>44344</v>
      </c>
      <c r="K446" s="114">
        <v>0</v>
      </c>
      <c r="L446" s="114">
        <v>2362</v>
      </c>
      <c r="M446" s="57">
        <v>1777840000</v>
      </c>
      <c r="N446" s="57">
        <v>3111220000</v>
      </c>
      <c r="O446" s="58">
        <v>4889060000</v>
      </c>
      <c r="P446" s="59">
        <v>3.8498402555910545E-5</v>
      </c>
      <c r="Q446" s="59">
        <v>0.49615312227708391</v>
      </c>
      <c r="R446" s="59">
        <v>0.47844478652338079</v>
      </c>
      <c r="S446" s="60">
        <v>2.5363592796979379E-2</v>
      </c>
    </row>
    <row r="447" spans="2:19" ht="12.5" x14ac:dyDescent="0.25">
      <c r="B447" s="51" t="s">
        <v>529</v>
      </c>
      <c r="C447" s="52" t="s">
        <v>179</v>
      </c>
      <c r="D447" s="52" t="s">
        <v>662</v>
      </c>
      <c r="E447" s="52" t="s">
        <v>348</v>
      </c>
      <c r="F447" s="52" t="s">
        <v>23</v>
      </c>
      <c r="G447" s="52" t="s">
        <v>412</v>
      </c>
      <c r="H447" s="53">
        <v>44343</v>
      </c>
      <c r="I447" s="54">
        <v>13.2</v>
      </c>
      <c r="J447" s="55">
        <v>44347</v>
      </c>
      <c r="K447" s="114">
        <v>0</v>
      </c>
      <c r="L447" s="114">
        <v>24</v>
      </c>
      <c r="M447" s="57">
        <v>390720000</v>
      </c>
      <c r="N447" s="57">
        <v>0</v>
      </c>
      <c r="O447" s="58">
        <v>390720000</v>
      </c>
      <c r="P447" s="59">
        <v>0</v>
      </c>
      <c r="Q447" s="59">
        <v>0.45494425675675676</v>
      </c>
      <c r="R447" s="59">
        <v>0.51856418918918923</v>
      </c>
      <c r="S447" s="60">
        <v>6.6163851351351347E-2</v>
      </c>
    </row>
    <row r="448" spans="2:19" ht="12.5" x14ac:dyDescent="0.25">
      <c r="B448" s="51" t="s">
        <v>360</v>
      </c>
      <c r="C448" s="52" t="s">
        <v>179</v>
      </c>
      <c r="D448" s="52" t="s">
        <v>578</v>
      </c>
      <c r="E448" s="52" t="s">
        <v>348</v>
      </c>
      <c r="F448" s="52" t="s">
        <v>24</v>
      </c>
      <c r="G448" s="52" t="s">
        <v>412</v>
      </c>
      <c r="H448" s="53">
        <v>44369</v>
      </c>
      <c r="I448" s="54">
        <v>12.5</v>
      </c>
      <c r="J448" s="55">
        <v>44371</v>
      </c>
      <c r="K448" s="114">
        <v>0</v>
      </c>
      <c r="L448" s="114">
        <v>7</v>
      </c>
      <c r="M448" s="57">
        <v>1720439300</v>
      </c>
      <c r="N448" s="57">
        <v>250000000</v>
      </c>
      <c r="O448" s="58">
        <v>1970439300</v>
      </c>
      <c r="P448" s="59">
        <v>0</v>
      </c>
      <c r="Q448" s="59">
        <v>0.12687526076037967</v>
      </c>
      <c r="R448" s="59">
        <v>0</v>
      </c>
      <c r="S448" s="60">
        <v>0</v>
      </c>
    </row>
    <row r="449" spans="2:19" ht="12.5" x14ac:dyDescent="0.25">
      <c r="B449" s="51" t="s">
        <v>445</v>
      </c>
      <c r="C449" s="52" t="s">
        <v>184</v>
      </c>
      <c r="D449" s="52" t="s">
        <v>591</v>
      </c>
      <c r="E449" s="52" t="s">
        <v>530</v>
      </c>
      <c r="F449" s="52" t="s">
        <v>24</v>
      </c>
      <c r="G449" s="52" t="s">
        <v>412</v>
      </c>
      <c r="H449" s="53">
        <v>44355</v>
      </c>
      <c r="I449" s="54">
        <v>40.67</v>
      </c>
      <c r="J449" s="55">
        <v>44357</v>
      </c>
      <c r="K449" s="114">
        <v>0</v>
      </c>
      <c r="L449" s="114">
        <v>2059</v>
      </c>
      <c r="M449" s="57">
        <v>2977288020</v>
      </c>
      <c r="N449" s="57">
        <v>0</v>
      </c>
      <c r="O449" s="58">
        <v>2977288020</v>
      </c>
      <c r="P449" s="59">
        <v>0</v>
      </c>
      <c r="Q449" s="59">
        <v>0.5012667404311123</v>
      </c>
      <c r="R449" s="59">
        <v>0.20916318334562742</v>
      </c>
      <c r="S449" s="60">
        <v>0.36788332923530864</v>
      </c>
    </row>
    <row r="450" spans="2:19" ht="12.5" x14ac:dyDescent="0.25">
      <c r="B450" s="51" t="s">
        <v>450</v>
      </c>
      <c r="C450" s="52" t="s">
        <v>184</v>
      </c>
      <c r="D450" s="52" t="s">
        <v>591</v>
      </c>
      <c r="E450" s="52" t="s">
        <v>190</v>
      </c>
      <c r="F450" s="52" t="s">
        <v>24</v>
      </c>
      <c r="G450" s="52" t="s">
        <v>412</v>
      </c>
      <c r="H450" s="53">
        <v>44371</v>
      </c>
      <c r="I450" s="54">
        <v>19.28</v>
      </c>
      <c r="J450" s="55">
        <v>44375</v>
      </c>
      <c r="K450" s="114">
        <v>18015</v>
      </c>
      <c r="L450" s="114">
        <v>20757</v>
      </c>
      <c r="M450" s="57">
        <v>5499999970.2400007</v>
      </c>
      <c r="N450" s="57">
        <v>0</v>
      </c>
      <c r="O450" s="58">
        <v>5499999970.2400007</v>
      </c>
      <c r="P450" s="59">
        <v>1.7718127295871175E-2</v>
      </c>
      <c r="Q450" s="59">
        <v>0.24556764015056232</v>
      </c>
      <c r="R450" s="59">
        <v>0.73662824725855569</v>
      </c>
      <c r="S450" s="60">
        <v>8.5985295010713162E-5</v>
      </c>
    </row>
    <row r="451" spans="2:19" ht="12.5" x14ac:dyDescent="0.25">
      <c r="B451" s="51" t="s">
        <v>531</v>
      </c>
      <c r="C451" s="52" t="s">
        <v>184</v>
      </c>
      <c r="D451" s="52" t="s">
        <v>591</v>
      </c>
      <c r="E451" s="52" t="s">
        <v>348</v>
      </c>
      <c r="F451" s="52" t="s">
        <v>23</v>
      </c>
      <c r="G451" s="52" t="s">
        <v>412</v>
      </c>
      <c r="H451" s="53">
        <v>44364</v>
      </c>
      <c r="I451" s="54">
        <v>16</v>
      </c>
      <c r="J451" s="55">
        <v>44368</v>
      </c>
      <c r="K451" s="114">
        <v>0</v>
      </c>
      <c r="L451" s="114">
        <v>84</v>
      </c>
      <c r="M451" s="57">
        <v>1092000000</v>
      </c>
      <c r="N451" s="57">
        <v>0</v>
      </c>
      <c r="O451" s="58">
        <v>1092000000</v>
      </c>
      <c r="P451" s="59">
        <v>0</v>
      </c>
      <c r="Q451" s="59">
        <v>0.34102564102564104</v>
      </c>
      <c r="R451" s="59">
        <v>2.564102564102564E-2</v>
      </c>
      <c r="S451" s="60">
        <v>0</v>
      </c>
    </row>
    <row r="452" spans="2:19" ht="12.5" x14ac:dyDescent="0.25">
      <c r="B452" s="51" t="s">
        <v>474</v>
      </c>
      <c r="C452" s="52" t="s">
        <v>179</v>
      </c>
      <c r="D452" s="52" t="s">
        <v>652</v>
      </c>
      <c r="E452" s="52" t="s">
        <v>204</v>
      </c>
      <c r="F452" s="52" t="s">
        <v>24</v>
      </c>
      <c r="G452" s="52" t="s">
        <v>412</v>
      </c>
      <c r="H452" s="53">
        <v>44397</v>
      </c>
      <c r="I452" s="54">
        <v>19.2</v>
      </c>
      <c r="J452" s="55">
        <v>44399</v>
      </c>
      <c r="K452" s="114">
        <v>289</v>
      </c>
      <c r="L452" s="114">
        <v>599</v>
      </c>
      <c r="M452" s="57">
        <v>883435584</v>
      </c>
      <c r="N452" s="57">
        <v>0</v>
      </c>
      <c r="O452" s="58">
        <v>883435584</v>
      </c>
      <c r="P452" s="59">
        <v>2.4384582634153886E-3</v>
      </c>
      <c r="Q452" s="59">
        <v>0.90177480919763353</v>
      </c>
      <c r="R452" s="59">
        <v>9.576028307231961E-2</v>
      </c>
      <c r="S452" s="60">
        <v>2.6449466631400709E-5</v>
      </c>
    </row>
    <row r="453" spans="2:19" ht="12.5" x14ac:dyDescent="0.25">
      <c r="B453" s="51" t="s">
        <v>377</v>
      </c>
      <c r="C453" s="52" t="s">
        <v>179</v>
      </c>
      <c r="D453" s="52" t="s">
        <v>639</v>
      </c>
      <c r="E453" s="52" t="s">
        <v>204</v>
      </c>
      <c r="F453" s="52" t="s">
        <v>24</v>
      </c>
      <c r="G453" s="52" t="s">
        <v>412</v>
      </c>
      <c r="H453" s="53">
        <v>44399</v>
      </c>
      <c r="I453" s="54">
        <v>22.75</v>
      </c>
      <c r="J453" s="55">
        <v>44403</v>
      </c>
      <c r="K453" s="114">
        <v>2827</v>
      </c>
      <c r="L453" s="114">
        <v>3979</v>
      </c>
      <c r="M453" s="57">
        <v>3981250000</v>
      </c>
      <c r="N453" s="57">
        <v>0</v>
      </c>
      <c r="O453" s="58">
        <v>3981250000</v>
      </c>
      <c r="P453" s="59">
        <v>1.28644E-3</v>
      </c>
      <c r="Q453" s="59">
        <v>0.31076097714285716</v>
      </c>
      <c r="R453" s="59">
        <v>0.68788002285714289</v>
      </c>
      <c r="S453" s="60">
        <v>7.2559999999999996E-5</v>
      </c>
    </row>
    <row r="454" spans="2:19" ht="12.5" x14ac:dyDescent="0.25">
      <c r="B454" s="51" t="s">
        <v>493</v>
      </c>
      <c r="C454" s="52" t="s">
        <v>179</v>
      </c>
      <c r="D454" s="52" t="s">
        <v>597</v>
      </c>
      <c r="E454" s="52" t="s">
        <v>348</v>
      </c>
      <c r="F454" s="52" t="s">
        <v>24</v>
      </c>
      <c r="G454" s="52" t="s">
        <v>412</v>
      </c>
      <c r="H454" s="53">
        <v>44392</v>
      </c>
      <c r="I454" s="54">
        <v>57</v>
      </c>
      <c r="J454" s="55">
        <v>44396</v>
      </c>
      <c r="K454" s="114">
        <v>1</v>
      </c>
      <c r="L454" s="114">
        <v>1499</v>
      </c>
      <c r="M454" s="57">
        <v>427500000</v>
      </c>
      <c r="N454" s="57">
        <v>727660119</v>
      </c>
      <c r="O454" s="58">
        <v>1155160119</v>
      </c>
      <c r="P454" s="59">
        <v>9.5085519481996595E-4</v>
      </c>
      <c r="Q454" s="59">
        <v>0.54758813137315387</v>
      </c>
      <c r="R454" s="59">
        <v>0.20196258091212721</v>
      </c>
      <c r="S454" s="60">
        <v>0.11303048110164197</v>
      </c>
    </row>
    <row r="455" spans="2:19" ht="12.5" x14ac:dyDescent="0.25">
      <c r="B455" s="51" t="s">
        <v>532</v>
      </c>
      <c r="C455" s="52" t="s">
        <v>179</v>
      </c>
      <c r="D455" s="52" t="s">
        <v>627</v>
      </c>
      <c r="E455" s="52" t="s">
        <v>348</v>
      </c>
      <c r="F455" s="52" t="s">
        <v>23</v>
      </c>
      <c r="G455" s="52" t="s">
        <v>412</v>
      </c>
      <c r="H455" s="53">
        <v>44384</v>
      </c>
      <c r="I455" s="54">
        <v>12.25</v>
      </c>
      <c r="J455" s="55">
        <v>44389</v>
      </c>
      <c r="K455" s="114">
        <v>20</v>
      </c>
      <c r="L455" s="114">
        <v>81</v>
      </c>
      <c r="M455" s="57">
        <v>1152941175.75</v>
      </c>
      <c r="N455" s="57">
        <v>192156868.75</v>
      </c>
      <c r="O455" s="58">
        <v>1345098044.5</v>
      </c>
      <c r="P455" s="59">
        <v>6.211089618456434E-3</v>
      </c>
      <c r="Q455" s="59">
        <v>0.98500678327318769</v>
      </c>
      <c r="R455" s="59">
        <v>0.1586129409840206</v>
      </c>
      <c r="S455" s="60">
        <v>1.6918339219249381E-4</v>
      </c>
    </row>
    <row r="456" spans="2:19" ht="12.5" x14ac:dyDescent="0.25">
      <c r="B456" s="51" t="s">
        <v>533</v>
      </c>
      <c r="C456" s="52" t="s">
        <v>179</v>
      </c>
      <c r="D456" s="52" t="s">
        <v>597</v>
      </c>
      <c r="E456" s="52" t="s">
        <v>348</v>
      </c>
      <c r="F456" s="52" t="s">
        <v>23</v>
      </c>
      <c r="G456" s="52" t="s">
        <v>412</v>
      </c>
      <c r="H456" s="53">
        <v>44399</v>
      </c>
      <c r="I456" s="54">
        <v>23.2</v>
      </c>
      <c r="J456" s="55">
        <v>44400</v>
      </c>
      <c r="K456" s="114">
        <v>0</v>
      </c>
      <c r="L456" s="114">
        <v>35</v>
      </c>
      <c r="M456" s="57">
        <v>450080000</v>
      </c>
      <c r="N456" s="57">
        <v>0</v>
      </c>
      <c r="O456" s="58">
        <v>450080000</v>
      </c>
      <c r="P456" s="59">
        <v>0</v>
      </c>
      <c r="Q456" s="59">
        <v>0.9503061855670103</v>
      </c>
      <c r="R456" s="59">
        <v>5.6765979381443302E-2</v>
      </c>
      <c r="S456" s="60">
        <v>0</v>
      </c>
    </row>
    <row r="457" spans="2:19" ht="12.5" x14ac:dyDescent="0.25">
      <c r="B457" s="51" t="s">
        <v>534</v>
      </c>
      <c r="C457" s="52" t="s">
        <v>179</v>
      </c>
      <c r="D457" s="52" t="s">
        <v>663</v>
      </c>
      <c r="E457" s="52" t="s">
        <v>204</v>
      </c>
      <c r="F457" s="52" t="s">
        <v>23</v>
      </c>
      <c r="G457" s="52" t="s">
        <v>181</v>
      </c>
      <c r="H457" s="53">
        <v>44389</v>
      </c>
      <c r="I457" s="54">
        <v>23</v>
      </c>
      <c r="J457" s="55">
        <v>44391</v>
      </c>
      <c r="K457" s="114">
        <v>16164</v>
      </c>
      <c r="L457" s="114">
        <v>17305</v>
      </c>
      <c r="M457" s="57">
        <v>2645000000</v>
      </c>
      <c r="N457" s="57">
        <v>0</v>
      </c>
      <c r="O457" s="58">
        <v>2645000000</v>
      </c>
      <c r="P457" s="59">
        <v>9.4812504347826093E-2</v>
      </c>
      <c r="Q457" s="59">
        <v>0.40513107826086958</v>
      </c>
      <c r="R457" s="59">
        <v>0.30761015652173912</v>
      </c>
      <c r="S457" s="60">
        <v>0.19244626086956521</v>
      </c>
    </row>
    <row r="458" spans="2:19" ht="12.5" x14ac:dyDescent="0.25">
      <c r="B458" s="51" t="s">
        <v>535</v>
      </c>
      <c r="C458" s="52" t="s">
        <v>179</v>
      </c>
      <c r="D458" s="52" t="s">
        <v>609</v>
      </c>
      <c r="E458" s="52" t="s">
        <v>536</v>
      </c>
      <c r="F458" s="52" t="s">
        <v>23</v>
      </c>
      <c r="G458" s="52" t="s">
        <v>181</v>
      </c>
      <c r="H458" s="53">
        <v>44397</v>
      </c>
      <c r="I458" s="54">
        <v>11.1</v>
      </c>
      <c r="J458" s="55">
        <v>44399</v>
      </c>
      <c r="K458" s="114">
        <v>18708</v>
      </c>
      <c r="L458" s="114">
        <v>19331</v>
      </c>
      <c r="M458" s="57">
        <v>1912676941.8</v>
      </c>
      <c r="N458" s="57">
        <v>0</v>
      </c>
      <c r="O458" s="58">
        <v>1912676941.8</v>
      </c>
      <c r="P458" s="59">
        <v>0.12056232731231015</v>
      </c>
      <c r="Q458" s="59">
        <v>0.74760222427019796</v>
      </c>
      <c r="R458" s="59">
        <v>0.27520215829267858</v>
      </c>
      <c r="S458" s="60">
        <v>6.6332860624440234E-3</v>
      </c>
    </row>
    <row r="459" spans="2:19" ht="12.5" x14ac:dyDescent="0.25">
      <c r="B459" s="51" t="s">
        <v>537</v>
      </c>
      <c r="C459" s="52" t="s">
        <v>179</v>
      </c>
      <c r="D459" s="52" t="s">
        <v>609</v>
      </c>
      <c r="E459" s="52" t="s">
        <v>204</v>
      </c>
      <c r="F459" s="52" t="s">
        <v>23</v>
      </c>
      <c r="G459" s="52" t="s">
        <v>181</v>
      </c>
      <c r="H459" s="53">
        <v>44396</v>
      </c>
      <c r="I459" s="54">
        <v>23.5</v>
      </c>
      <c r="J459" s="55">
        <v>44398</v>
      </c>
      <c r="K459" s="114">
        <v>8393</v>
      </c>
      <c r="L459" s="114">
        <v>8845</v>
      </c>
      <c r="M459" s="57">
        <v>715222500</v>
      </c>
      <c r="N459" s="57">
        <v>0</v>
      </c>
      <c r="O459" s="58">
        <v>715222500</v>
      </c>
      <c r="P459" s="59">
        <v>0.13538975057741184</v>
      </c>
      <c r="Q459" s="59">
        <v>1.0877674117453784</v>
      </c>
      <c r="R459" s="59">
        <v>0.12584238347877347</v>
      </c>
      <c r="S459" s="60">
        <v>3.9416306690246332E-3</v>
      </c>
    </row>
    <row r="460" spans="2:19" ht="12.5" x14ac:dyDescent="0.25">
      <c r="B460" s="51" t="s">
        <v>538</v>
      </c>
      <c r="C460" s="52" t="s">
        <v>179</v>
      </c>
      <c r="D460" s="52" t="s">
        <v>604</v>
      </c>
      <c r="E460" s="52" t="s">
        <v>381</v>
      </c>
      <c r="F460" s="52" t="s">
        <v>23</v>
      </c>
      <c r="G460" s="52" t="s">
        <v>181</v>
      </c>
      <c r="H460" s="53">
        <v>44390</v>
      </c>
      <c r="I460" s="54">
        <v>11.2</v>
      </c>
      <c r="J460" s="55">
        <v>44392</v>
      </c>
      <c r="K460" s="114">
        <v>7782</v>
      </c>
      <c r="L460" s="114">
        <v>8191</v>
      </c>
      <c r="M460" s="57">
        <v>700000000</v>
      </c>
      <c r="N460" s="57">
        <v>910000000</v>
      </c>
      <c r="O460" s="58">
        <v>1610000000</v>
      </c>
      <c r="P460" s="59">
        <v>0.1055669008695652</v>
      </c>
      <c r="Q460" s="59">
        <v>0.57626807652173906</v>
      </c>
      <c r="R460" s="59">
        <v>0.28857176347826086</v>
      </c>
      <c r="S460" s="60">
        <v>0.16002804173913043</v>
      </c>
    </row>
    <row r="461" spans="2:19" ht="12.5" x14ac:dyDescent="0.25">
      <c r="B461" s="51" t="s">
        <v>439</v>
      </c>
      <c r="C461" s="52" t="s">
        <v>179</v>
      </c>
      <c r="D461" s="52" t="s">
        <v>653</v>
      </c>
      <c r="E461" s="52" t="s">
        <v>185</v>
      </c>
      <c r="F461" s="52" t="s">
        <v>24</v>
      </c>
      <c r="G461" s="52" t="s">
        <v>181</v>
      </c>
      <c r="H461" s="53">
        <v>44378</v>
      </c>
      <c r="I461" s="54">
        <v>26</v>
      </c>
      <c r="J461" s="55">
        <v>44379</v>
      </c>
      <c r="K461" s="114">
        <v>4859</v>
      </c>
      <c r="L461" s="114">
        <v>5795</v>
      </c>
      <c r="M461" s="57">
        <v>0</v>
      </c>
      <c r="N461" s="57">
        <v>11358750000</v>
      </c>
      <c r="O461" s="58">
        <v>11358750000</v>
      </c>
      <c r="P461" s="59">
        <v>6.189990042918455E-2</v>
      </c>
      <c r="Q461" s="59">
        <v>0.59253524234620891</v>
      </c>
      <c r="R461" s="59">
        <v>0.34119225865522174</v>
      </c>
      <c r="S461" s="60">
        <v>4.3725985693848354E-3</v>
      </c>
    </row>
    <row r="462" spans="2:19" ht="12.5" x14ac:dyDescent="0.25">
      <c r="B462" s="51" t="s">
        <v>539</v>
      </c>
      <c r="C462" s="52" t="s">
        <v>179</v>
      </c>
      <c r="D462" s="52" t="s">
        <v>627</v>
      </c>
      <c r="E462" s="52" t="s">
        <v>204</v>
      </c>
      <c r="F462" s="52" t="s">
        <v>23</v>
      </c>
      <c r="G462" s="52" t="s">
        <v>412</v>
      </c>
      <c r="H462" s="53">
        <v>44399</v>
      </c>
      <c r="I462" s="54">
        <v>13.75</v>
      </c>
      <c r="J462" s="55">
        <v>44403</v>
      </c>
      <c r="K462" s="114">
        <v>0</v>
      </c>
      <c r="L462" s="114">
        <v>120</v>
      </c>
      <c r="M462" s="57">
        <v>349999993.75</v>
      </c>
      <c r="N462" s="57">
        <v>0</v>
      </c>
      <c r="O462" s="58">
        <v>349999993.75</v>
      </c>
      <c r="P462" s="59">
        <v>0</v>
      </c>
      <c r="Q462" s="59">
        <v>0</v>
      </c>
      <c r="R462" s="59">
        <v>0</v>
      </c>
      <c r="S462" s="60">
        <v>0</v>
      </c>
    </row>
    <row r="463" spans="2:19" ht="12.5" x14ac:dyDescent="0.25">
      <c r="B463" s="51" t="s">
        <v>540</v>
      </c>
      <c r="C463" s="52" t="s">
        <v>179</v>
      </c>
      <c r="D463" s="52" t="s">
        <v>664</v>
      </c>
      <c r="E463" s="52" t="s">
        <v>457</v>
      </c>
      <c r="F463" s="52" t="s">
        <v>23</v>
      </c>
      <c r="G463" s="52" t="s">
        <v>181</v>
      </c>
      <c r="H463" s="53">
        <v>44400</v>
      </c>
      <c r="I463" s="54">
        <v>8.6</v>
      </c>
      <c r="J463" s="55">
        <v>44404</v>
      </c>
      <c r="K463" s="114">
        <v>9372</v>
      </c>
      <c r="L463" s="114">
        <v>9957</v>
      </c>
      <c r="M463" s="57">
        <v>863420899.39999998</v>
      </c>
      <c r="N463" s="57">
        <v>0</v>
      </c>
      <c r="O463" s="58">
        <v>863420899.39999998</v>
      </c>
      <c r="P463" s="59">
        <v>0.13741440893893783</v>
      </c>
      <c r="Q463" s="59">
        <v>0.57668200068671305</v>
      </c>
      <c r="R463" s="59">
        <v>0.26737908447076225</v>
      </c>
      <c r="S463" s="60">
        <v>1.7299031783209139E-2</v>
      </c>
    </row>
    <row r="464" spans="2:19" ht="12.5" x14ac:dyDescent="0.25">
      <c r="B464" s="51" t="s">
        <v>541</v>
      </c>
      <c r="C464" s="52" t="s">
        <v>179</v>
      </c>
      <c r="D464" s="52" t="s">
        <v>656</v>
      </c>
      <c r="E464" s="52" t="s">
        <v>211</v>
      </c>
      <c r="F464" s="52" t="s">
        <v>23</v>
      </c>
      <c r="G464" s="52" t="s">
        <v>181</v>
      </c>
      <c r="H464" s="53">
        <v>44403</v>
      </c>
      <c r="I464" s="54">
        <v>16.63</v>
      </c>
      <c r="J464" s="55">
        <v>44405</v>
      </c>
      <c r="K464" s="114">
        <v>8076</v>
      </c>
      <c r="L464" s="114">
        <v>8716</v>
      </c>
      <c r="M464" s="57">
        <v>1000300752.8799999</v>
      </c>
      <c r="N464" s="57">
        <v>532483071.00999999</v>
      </c>
      <c r="O464" s="58">
        <v>1532783823.8899999</v>
      </c>
      <c r="P464" s="59">
        <v>0.1085082388643057</v>
      </c>
      <c r="Q464" s="59">
        <v>0.60516811563544293</v>
      </c>
      <c r="R464" s="59">
        <v>0.28248616306579283</v>
      </c>
      <c r="S464" s="60">
        <v>3.8374824344584967E-3</v>
      </c>
    </row>
    <row r="465" spans="2:20" ht="12.5" x14ac:dyDescent="0.25">
      <c r="B465" s="51" t="s">
        <v>542</v>
      </c>
      <c r="C465" s="52" t="s">
        <v>179</v>
      </c>
      <c r="D465" s="52" t="s">
        <v>597</v>
      </c>
      <c r="E465" s="52" t="s">
        <v>348</v>
      </c>
      <c r="F465" s="52" t="s">
        <v>23</v>
      </c>
      <c r="G465" s="52" t="s">
        <v>181</v>
      </c>
      <c r="H465" s="53">
        <v>44403</v>
      </c>
      <c r="I465" s="54">
        <v>9.5</v>
      </c>
      <c r="J465" s="55">
        <v>44405</v>
      </c>
      <c r="K465" s="114">
        <v>3762</v>
      </c>
      <c r="L465" s="114">
        <v>4230</v>
      </c>
      <c r="M465" s="57">
        <v>544930345.5</v>
      </c>
      <c r="N465" s="57">
        <v>0</v>
      </c>
      <c r="O465" s="58">
        <v>544930345.5</v>
      </c>
      <c r="P465" s="59">
        <v>0.10257094938683313</v>
      </c>
      <c r="Q465" s="59">
        <v>0.69925371530564573</v>
      </c>
      <c r="R465" s="59">
        <v>2.3509721698243963E-2</v>
      </c>
      <c r="S465" s="60">
        <v>0.17466561360927718</v>
      </c>
    </row>
    <row r="466" spans="2:20" ht="12.5" x14ac:dyDescent="0.25">
      <c r="B466" s="51" t="s">
        <v>543</v>
      </c>
      <c r="C466" s="52" t="s">
        <v>179</v>
      </c>
      <c r="D466" s="52" t="s">
        <v>664</v>
      </c>
      <c r="E466" s="52" t="s">
        <v>211</v>
      </c>
      <c r="F466" s="52" t="s">
        <v>23</v>
      </c>
      <c r="G466" s="52" t="s">
        <v>181</v>
      </c>
      <c r="H466" s="53">
        <v>44404</v>
      </c>
      <c r="I466" s="54">
        <v>13.92</v>
      </c>
      <c r="J466" s="55">
        <v>44406</v>
      </c>
      <c r="K466" s="114">
        <v>5965</v>
      </c>
      <c r="L466" s="114">
        <v>6183</v>
      </c>
      <c r="M466" s="57">
        <v>1340059997.76</v>
      </c>
      <c r="N466" s="57">
        <v>0</v>
      </c>
      <c r="O466" s="58">
        <v>1340059997.76</v>
      </c>
      <c r="P466" s="59">
        <v>0.1450352158086114</v>
      </c>
      <c r="Q466" s="59">
        <v>0.77910457999665683</v>
      </c>
      <c r="R466" s="59">
        <v>7.3797487753256605E-2</v>
      </c>
      <c r="S466" s="60">
        <v>2.0627164414751199E-3</v>
      </c>
    </row>
    <row r="467" spans="2:20" ht="12.5" x14ac:dyDescent="0.25">
      <c r="B467" s="51" t="s">
        <v>544</v>
      </c>
      <c r="C467" s="52" t="s">
        <v>179</v>
      </c>
      <c r="D467" s="52" t="s">
        <v>621</v>
      </c>
      <c r="E467" s="52" t="s">
        <v>204</v>
      </c>
      <c r="F467" s="52" t="s">
        <v>23</v>
      </c>
      <c r="G467" s="52" t="s">
        <v>181</v>
      </c>
      <c r="H467" s="53">
        <v>44405</v>
      </c>
      <c r="I467" s="54">
        <v>25</v>
      </c>
      <c r="J467" s="55">
        <v>44407</v>
      </c>
      <c r="K467" s="114">
        <v>7444</v>
      </c>
      <c r="L467" s="114">
        <v>8026</v>
      </c>
      <c r="M467" s="57">
        <v>795156250</v>
      </c>
      <c r="N467" s="57">
        <v>509967250</v>
      </c>
      <c r="O467" s="58">
        <v>1305123500</v>
      </c>
      <c r="P467" s="59">
        <v>9.6234015401607587E-2</v>
      </c>
      <c r="Q467" s="59">
        <v>0.505568266144928</v>
      </c>
      <c r="R467" s="59">
        <v>0.39317903631342166</v>
      </c>
      <c r="S467" s="60">
        <v>6.5138280017178448E-3</v>
      </c>
    </row>
    <row r="468" spans="2:20" ht="12.5" x14ac:dyDescent="0.25">
      <c r="B468" s="51" t="s">
        <v>545</v>
      </c>
      <c r="C468" s="52" t="s">
        <v>179</v>
      </c>
      <c r="D468" s="52" t="s">
        <v>618</v>
      </c>
      <c r="E468" s="52" t="s">
        <v>266</v>
      </c>
      <c r="F468" s="52" t="s">
        <v>23</v>
      </c>
      <c r="G468" s="52" t="s">
        <v>412</v>
      </c>
      <c r="H468" s="53">
        <v>44413</v>
      </c>
      <c r="I468" s="54">
        <v>19.920000000000002</v>
      </c>
      <c r="J468" s="55">
        <v>44417</v>
      </c>
      <c r="K468" s="114">
        <v>1</v>
      </c>
      <c r="L468" s="114">
        <v>215</v>
      </c>
      <c r="M468" s="57">
        <v>699999995.04000008</v>
      </c>
      <c r="N468" s="57">
        <v>1176980291.5200002</v>
      </c>
      <c r="O468" s="58">
        <v>1876980286.5600004</v>
      </c>
      <c r="P468" s="59">
        <v>6.8685985102315473E-5</v>
      </c>
      <c r="Q468" s="59">
        <v>0.38145919682098506</v>
      </c>
      <c r="R468" s="59">
        <v>0.61146401354243107</v>
      </c>
      <c r="S468" s="60">
        <v>0</v>
      </c>
    </row>
    <row r="469" spans="2:20" ht="12.5" x14ac:dyDescent="0.25">
      <c r="B469" s="51" t="s">
        <v>546</v>
      </c>
      <c r="C469" s="52" t="s">
        <v>184</v>
      </c>
      <c r="D469" s="52" t="s">
        <v>665</v>
      </c>
      <c r="E469" s="52" t="s">
        <v>348</v>
      </c>
      <c r="F469" s="52" t="s">
        <v>23</v>
      </c>
      <c r="G469" s="52" t="s">
        <v>181</v>
      </c>
      <c r="H469" s="53">
        <v>44411</v>
      </c>
      <c r="I469" s="54">
        <v>7.4</v>
      </c>
      <c r="J469" s="55">
        <v>44413</v>
      </c>
      <c r="K469" s="114">
        <v>82316</v>
      </c>
      <c r="L469" s="114">
        <v>85700</v>
      </c>
      <c r="M469" s="57">
        <v>6709671390</v>
      </c>
      <c r="N469" s="57">
        <v>0</v>
      </c>
      <c r="O469" s="58">
        <v>6709671390</v>
      </c>
      <c r="P469" s="59">
        <v>0.14761923778803718</v>
      </c>
      <c r="Q469" s="59">
        <v>0.36980073890026977</v>
      </c>
      <c r="R469" s="59">
        <v>0.49911008601570284</v>
      </c>
      <c r="S469" s="60">
        <v>1.1836485959411495E-2</v>
      </c>
    </row>
    <row r="470" spans="2:20" ht="12.5" x14ac:dyDescent="0.25">
      <c r="B470" s="51" t="s">
        <v>547</v>
      </c>
      <c r="C470" s="52" t="s">
        <v>179</v>
      </c>
      <c r="D470" s="52" t="s">
        <v>654</v>
      </c>
      <c r="E470" s="52" t="s">
        <v>447</v>
      </c>
      <c r="F470" s="52" t="s">
        <v>23</v>
      </c>
      <c r="G470" s="52" t="s">
        <v>181</v>
      </c>
      <c r="H470" s="53">
        <v>44414</v>
      </c>
      <c r="I470" s="54">
        <v>19.75</v>
      </c>
      <c r="J470" s="55">
        <v>44418</v>
      </c>
      <c r="K470" s="114">
        <v>6528</v>
      </c>
      <c r="L470" s="114">
        <v>6914</v>
      </c>
      <c r="M470" s="57">
        <v>1780423533.25</v>
      </c>
      <c r="N470" s="57">
        <v>889239089</v>
      </c>
      <c r="O470" s="58">
        <v>2669662622.25</v>
      </c>
      <c r="P470" s="59">
        <v>0.11072559344306214</v>
      </c>
      <c r="Q470" s="59">
        <v>0.6638166949944565</v>
      </c>
      <c r="R470" s="59">
        <v>0.3556375446483423</v>
      </c>
      <c r="S470" s="60">
        <v>1.5844453866414868E-2</v>
      </c>
    </row>
    <row r="471" spans="2:20" ht="12.5" x14ac:dyDescent="0.25">
      <c r="B471" s="125" t="s">
        <v>548</v>
      </c>
      <c r="C471" s="126" t="s">
        <v>179</v>
      </c>
      <c r="D471" s="126" t="s">
        <v>654</v>
      </c>
      <c r="E471" s="126" t="s">
        <v>204</v>
      </c>
      <c r="F471" s="126" t="s">
        <v>23</v>
      </c>
      <c r="G471" s="126" t="s">
        <v>412</v>
      </c>
      <c r="H471" s="127">
        <v>44419</v>
      </c>
      <c r="I471" s="128">
        <v>7.2</v>
      </c>
      <c r="J471" s="129">
        <v>44421</v>
      </c>
      <c r="K471" s="130">
        <v>19</v>
      </c>
      <c r="L471" s="130">
        <v>80</v>
      </c>
      <c r="M471" s="131">
        <v>769920796.80000007</v>
      </c>
      <c r="N471" s="131">
        <v>0</v>
      </c>
      <c r="O471" s="132">
        <v>769920796.80000007</v>
      </c>
      <c r="P471" s="133">
        <v>1.6061111807078804E-3</v>
      </c>
      <c r="Q471" s="133">
        <v>0.79753485728936213</v>
      </c>
      <c r="R471" s="133">
        <v>0.27233651054949654</v>
      </c>
      <c r="S471" s="134">
        <v>6.4900182210534618E-2</v>
      </c>
      <c r="T471" s="135"/>
    </row>
    <row r="472" spans="2:20" ht="12.5" x14ac:dyDescent="0.25">
      <c r="B472" s="125" t="s">
        <v>549</v>
      </c>
      <c r="C472" s="126" t="s">
        <v>179</v>
      </c>
      <c r="D472" s="126" t="s">
        <v>615</v>
      </c>
      <c r="E472" s="126" t="s">
        <v>457</v>
      </c>
      <c r="F472" s="126" t="s">
        <v>23</v>
      </c>
      <c r="G472" s="126" t="s">
        <v>412</v>
      </c>
      <c r="H472" s="127">
        <v>44439</v>
      </c>
      <c r="I472" s="128">
        <v>8.6</v>
      </c>
      <c r="J472" s="129">
        <v>44441</v>
      </c>
      <c r="K472" s="130">
        <v>2</v>
      </c>
      <c r="L472" s="130">
        <v>267</v>
      </c>
      <c r="M472" s="131">
        <v>71611907.599999994</v>
      </c>
      <c r="N472" s="131">
        <v>310388095.39999998</v>
      </c>
      <c r="O472" s="132">
        <v>382000003</v>
      </c>
      <c r="P472" s="133">
        <v>5.0955449861606415E-3</v>
      </c>
      <c r="Q472" s="133">
        <v>1.0072587376393292</v>
      </c>
      <c r="R472" s="133">
        <v>0.11636587866728368</v>
      </c>
      <c r="S472" s="134">
        <v>5.0955449861606415E-3</v>
      </c>
      <c r="T472" s="135"/>
    </row>
    <row r="473" spans="2:20" ht="12.5" x14ac:dyDescent="0.25">
      <c r="B473" s="125" t="s">
        <v>452</v>
      </c>
      <c r="C473" s="126" t="s">
        <v>179</v>
      </c>
      <c r="D473" s="126" t="s">
        <v>597</v>
      </c>
      <c r="E473" s="126" t="s">
        <v>348</v>
      </c>
      <c r="F473" s="126" t="s">
        <v>24</v>
      </c>
      <c r="G473" s="126" t="s">
        <v>412</v>
      </c>
      <c r="H473" s="127">
        <v>44441</v>
      </c>
      <c r="I473" s="128">
        <v>23</v>
      </c>
      <c r="J473" s="129">
        <v>44445</v>
      </c>
      <c r="K473" s="130">
        <v>1</v>
      </c>
      <c r="L473" s="130">
        <v>1844</v>
      </c>
      <c r="M473" s="131">
        <v>400042680</v>
      </c>
      <c r="N473" s="131">
        <v>0</v>
      </c>
      <c r="O473" s="132">
        <v>400042680</v>
      </c>
      <c r="P473" s="133">
        <v>3.5071257896782414E-4</v>
      </c>
      <c r="Q473" s="133">
        <v>0.54959679552191776</v>
      </c>
      <c r="R473" s="133">
        <v>0.19200427064432224</v>
      </c>
      <c r="S473" s="134">
        <v>0.25649588688886898</v>
      </c>
      <c r="T473" s="135"/>
    </row>
    <row r="474" spans="2:20" ht="12.5" x14ac:dyDescent="0.25">
      <c r="B474" s="125" t="s">
        <v>550</v>
      </c>
      <c r="C474" s="126" t="s">
        <v>179</v>
      </c>
      <c r="D474" s="126" t="s">
        <v>584</v>
      </c>
      <c r="E474" s="126" t="s">
        <v>190</v>
      </c>
      <c r="F474" s="126" t="s">
        <v>24</v>
      </c>
      <c r="G474" s="126" t="s">
        <v>412</v>
      </c>
      <c r="H474" s="127">
        <v>44467</v>
      </c>
      <c r="I474" s="128">
        <v>12</v>
      </c>
      <c r="J474" s="129">
        <v>44469</v>
      </c>
      <c r="K474" s="130">
        <v>2998</v>
      </c>
      <c r="L474" s="130">
        <v>3385</v>
      </c>
      <c r="M474" s="131">
        <v>1116000000</v>
      </c>
      <c r="N474" s="131">
        <v>0</v>
      </c>
      <c r="O474" s="132">
        <v>1116000000</v>
      </c>
      <c r="P474" s="133">
        <v>1.1760795698924732E-2</v>
      </c>
      <c r="Q474" s="133">
        <v>0.2841796451612903</v>
      </c>
      <c r="R474" s="133">
        <v>0.19180716129032258</v>
      </c>
      <c r="S474" s="134">
        <v>0.51225239784946242</v>
      </c>
      <c r="T474" s="135"/>
    </row>
    <row r="475" spans="2:20" ht="12.5" x14ac:dyDescent="0.25">
      <c r="B475" s="125" t="s">
        <v>230</v>
      </c>
      <c r="C475" s="126" t="s">
        <v>179</v>
      </c>
      <c r="D475" s="126" t="s">
        <v>597</v>
      </c>
      <c r="E475" s="126" t="s">
        <v>348</v>
      </c>
      <c r="F475" s="126" t="s">
        <v>24</v>
      </c>
      <c r="G475" s="126" t="s">
        <v>412</v>
      </c>
      <c r="H475" s="127">
        <v>44460</v>
      </c>
      <c r="I475" s="128">
        <v>36.75</v>
      </c>
      <c r="J475" s="129">
        <v>44462</v>
      </c>
      <c r="K475" s="130">
        <v>0</v>
      </c>
      <c r="L475" s="130">
        <v>990</v>
      </c>
      <c r="M475" s="131">
        <v>1443172500</v>
      </c>
      <c r="N475" s="131">
        <v>0</v>
      </c>
      <c r="O475" s="132">
        <v>1443172500</v>
      </c>
      <c r="P475" s="133">
        <v>0</v>
      </c>
      <c r="Q475" s="133">
        <v>0.17988482302011713</v>
      </c>
      <c r="R475" s="133">
        <v>0.41643386809269162</v>
      </c>
      <c r="S475" s="134">
        <v>0.40368130888719123</v>
      </c>
      <c r="T475" s="135"/>
    </row>
    <row r="476" spans="2:20" ht="12.5" x14ac:dyDescent="0.25">
      <c r="B476" s="125" t="s">
        <v>503</v>
      </c>
      <c r="C476" s="126" t="s">
        <v>179</v>
      </c>
      <c r="D476" s="126" t="s">
        <v>643</v>
      </c>
      <c r="E476" s="126" t="s">
        <v>348</v>
      </c>
      <c r="F476" s="126" t="s">
        <v>24</v>
      </c>
      <c r="G476" s="126" t="s">
        <v>412</v>
      </c>
      <c r="H476" s="127">
        <v>44462</v>
      </c>
      <c r="I476" s="128">
        <v>16.75</v>
      </c>
      <c r="J476" s="129">
        <v>44466</v>
      </c>
      <c r="K476" s="130">
        <v>0</v>
      </c>
      <c r="L476" s="130">
        <v>456</v>
      </c>
      <c r="M476" s="131">
        <v>1098532167.5</v>
      </c>
      <c r="N476" s="131">
        <v>0</v>
      </c>
      <c r="O476" s="132">
        <v>1098532167.5</v>
      </c>
      <c r="P476" s="133">
        <v>5.031714285235075E-5</v>
      </c>
      <c r="Q476" s="133">
        <v>0.55581297941373209</v>
      </c>
      <c r="R476" s="133">
        <v>0.35680441009935199</v>
      </c>
      <c r="S476" s="134">
        <v>8.7332293344063588E-2</v>
      </c>
      <c r="T476" s="135"/>
    </row>
    <row r="477" spans="2:20" ht="12.5" x14ac:dyDescent="0.25">
      <c r="B477" s="125" t="s">
        <v>479</v>
      </c>
      <c r="C477" s="126" t="s">
        <v>179</v>
      </c>
      <c r="D477" s="126" t="s">
        <v>593</v>
      </c>
      <c r="E477" s="126" t="s">
        <v>204</v>
      </c>
      <c r="F477" s="126" t="s">
        <v>24</v>
      </c>
      <c r="G477" s="126" t="s">
        <v>412</v>
      </c>
      <c r="H477" s="127">
        <v>44518</v>
      </c>
      <c r="I477" s="128">
        <v>19</v>
      </c>
      <c r="J477" s="129">
        <v>44522</v>
      </c>
      <c r="K477" s="130">
        <v>647</v>
      </c>
      <c r="L477" s="130">
        <v>1098</v>
      </c>
      <c r="M477" s="131">
        <v>779000000</v>
      </c>
      <c r="N477" s="131">
        <v>0</v>
      </c>
      <c r="O477" s="132">
        <v>779000000</v>
      </c>
      <c r="P477" s="133">
        <v>1.8844146341463414E-3</v>
      </c>
      <c r="Q477" s="133">
        <v>0.61019204878048783</v>
      </c>
      <c r="R477" s="133">
        <v>0.38791826829268294</v>
      </c>
      <c r="S477" s="134">
        <v>5.2682926829268289E-6</v>
      </c>
      <c r="T477" s="135"/>
    </row>
    <row r="478" spans="2:20" ht="12.5" x14ac:dyDescent="0.25">
      <c r="B478" s="125" t="s">
        <v>496</v>
      </c>
      <c r="C478" s="126" t="s">
        <v>179</v>
      </c>
      <c r="D478" s="126" t="s">
        <v>653</v>
      </c>
      <c r="E478" s="126" t="s">
        <v>204</v>
      </c>
      <c r="F478" s="126" t="s">
        <v>24</v>
      </c>
      <c r="G478" s="126" t="s">
        <v>412</v>
      </c>
      <c r="H478" s="127">
        <v>44504</v>
      </c>
      <c r="I478" s="128">
        <v>33</v>
      </c>
      <c r="J478" s="129">
        <v>44508</v>
      </c>
      <c r="K478" s="130">
        <v>1041</v>
      </c>
      <c r="L478" s="130">
        <v>1553</v>
      </c>
      <c r="M478" s="131">
        <v>2168100000</v>
      </c>
      <c r="N478" s="131">
        <v>240900000</v>
      </c>
      <c r="O478" s="132">
        <v>2409000000</v>
      </c>
      <c r="P478" s="133">
        <v>1.1275109589041096E-2</v>
      </c>
      <c r="Q478" s="133">
        <v>0.81532327397260274</v>
      </c>
      <c r="R478" s="133">
        <v>0.17070578082191781</v>
      </c>
      <c r="S478" s="134">
        <v>2.6958356164383562E-3</v>
      </c>
      <c r="T478" s="135"/>
    </row>
    <row r="479" spans="2:20" ht="12.5" x14ac:dyDescent="0.25">
      <c r="B479" s="125" t="s">
        <v>551</v>
      </c>
      <c r="C479" s="126" t="s">
        <v>552</v>
      </c>
      <c r="D479" s="126" t="s">
        <v>591</v>
      </c>
      <c r="E479" s="126" t="s">
        <v>553</v>
      </c>
      <c r="F479" s="126" t="s">
        <v>23</v>
      </c>
      <c r="G479" s="126" t="s">
        <v>181</v>
      </c>
      <c r="H479" s="127">
        <v>44538</v>
      </c>
      <c r="I479" s="128">
        <v>8.36</v>
      </c>
      <c r="J479" s="129">
        <v>44539</v>
      </c>
      <c r="K479" s="130">
        <v>8373110</v>
      </c>
      <c r="L479" s="130">
        <v>8373110</v>
      </c>
      <c r="M479" s="131">
        <v>405680536.79999995</v>
      </c>
      <c r="N479" s="131">
        <v>0</v>
      </c>
      <c r="O479" s="132">
        <v>405680536.79999995</v>
      </c>
      <c r="P479" s="133">
        <v>1</v>
      </c>
      <c r="Q479" s="133">
        <v>0</v>
      </c>
      <c r="R479" s="133">
        <v>0</v>
      </c>
      <c r="S479" s="134">
        <v>0</v>
      </c>
      <c r="T479" s="135"/>
    </row>
    <row r="480" spans="2:20" ht="12.5" x14ac:dyDescent="0.25">
      <c r="B480" s="125" t="s">
        <v>531</v>
      </c>
      <c r="C480" s="126" t="s">
        <v>184</v>
      </c>
      <c r="D480" s="126" t="s">
        <v>591</v>
      </c>
      <c r="E480" s="126" t="s">
        <v>348</v>
      </c>
      <c r="F480" s="126" t="s">
        <v>24</v>
      </c>
      <c r="G480" s="126" t="s">
        <v>181</v>
      </c>
      <c r="H480" s="127">
        <v>44586</v>
      </c>
      <c r="I480" s="128">
        <v>16.5</v>
      </c>
      <c r="J480" s="129">
        <v>44588</v>
      </c>
      <c r="K480" s="130">
        <v>258</v>
      </c>
      <c r="L480" s="130">
        <v>265</v>
      </c>
      <c r="M480" s="131">
        <v>5697516</v>
      </c>
      <c r="N480" s="131">
        <v>0</v>
      </c>
      <c r="O480" s="132">
        <v>5697516</v>
      </c>
      <c r="P480" s="133">
        <v>0.82197426036188403</v>
      </c>
      <c r="Q480" s="133">
        <v>0.14994034242290852</v>
      </c>
      <c r="R480" s="133">
        <v>0</v>
      </c>
      <c r="S480" s="134">
        <v>2.8085397215207468E-2</v>
      </c>
      <c r="T480" s="135"/>
    </row>
    <row r="481" spans="2:20" ht="12.5" x14ac:dyDescent="0.25">
      <c r="B481" s="125" t="s">
        <v>554</v>
      </c>
      <c r="C481" s="126" t="s">
        <v>189</v>
      </c>
      <c r="D481" s="126" t="s">
        <v>585</v>
      </c>
      <c r="E481" s="126" t="s">
        <v>204</v>
      </c>
      <c r="F481" s="126" t="s">
        <v>24</v>
      </c>
      <c r="G481" s="126" t="s">
        <v>412</v>
      </c>
      <c r="H481" s="127">
        <v>44614</v>
      </c>
      <c r="I481" s="128">
        <v>26.3</v>
      </c>
      <c r="J481" s="129">
        <v>44616</v>
      </c>
      <c r="K481" s="130">
        <v>16</v>
      </c>
      <c r="L481" s="130">
        <v>22</v>
      </c>
      <c r="M481" s="131">
        <v>2498500000</v>
      </c>
      <c r="N481" s="131">
        <v>0</v>
      </c>
      <c r="O481" s="132">
        <v>2498500000</v>
      </c>
      <c r="P481" s="133">
        <v>6.7936842105263161E-5</v>
      </c>
      <c r="Q481" s="133">
        <v>0</v>
      </c>
      <c r="R481" s="133">
        <v>0</v>
      </c>
      <c r="S481" s="134">
        <v>0.3946689052631579</v>
      </c>
      <c r="T481" s="135"/>
    </row>
    <row r="482" spans="2:20" ht="12.5" x14ac:dyDescent="0.25">
      <c r="B482" s="125" t="s">
        <v>27</v>
      </c>
      <c r="C482" s="126" t="s">
        <v>179</v>
      </c>
      <c r="D482" s="126" t="s">
        <v>606</v>
      </c>
      <c r="E482" s="126" t="s">
        <v>339</v>
      </c>
      <c r="F482" s="126" t="s">
        <v>24</v>
      </c>
      <c r="G482" s="126" t="s">
        <v>412</v>
      </c>
      <c r="H482" s="127">
        <v>44593</v>
      </c>
      <c r="I482" s="128">
        <v>20</v>
      </c>
      <c r="J482" s="129">
        <v>44595</v>
      </c>
      <c r="K482" s="130">
        <v>0</v>
      </c>
      <c r="L482" s="130">
        <v>160</v>
      </c>
      <c r="M482" s="131">
        <v>5400000000</v>
      </c>
      <c r="N482" s="131">
        <v>0</v>
      </c>
      <c r="O482" s="132">
        <v>5400000000</v>
      </c>
      <c r="P482" s="133">
        <v>1.0206333333333333E-3</v>
      </c>
      <c r="Q482" s="133">
        <v>9.5917377777777771E-2</v>
      </c>
      <c r="R482" s="133">
        <v>0.28559843333333335</v>
      </c>
      <c r="S482" s="134">
        <v>3.7037037037037038E-3</v>
      </c>
      <c r="T482" s="135"/>
    </row>
    <row r="483" spans="2:20" ht="12.5" x14ac:dyDescent="0.25">
      <c r="B483" s="125" t="s">
        <v>555</v>
      </c>
      <c r="C483" s="126" t="s">
        <v>179</v>
      </c>
      <c r="D483" s="126" t="s">
        <v>652</v>
      </c>
      <c r="E483" s="126" t="s">
        <v>204</v>
      </c>
      <c r="F483" s="126" t="s">
        <v>24</v>
      </c>
      <c r="G483" s="126" t="s">
        <v>412</v>
      </c>
      <c r="H483" s="127">
        <v>44595</v>
      </c>
      <c r="I483" s="128">
        <v>82.35</v>
      </c>
      <c r="J483" s="129">
        <v>44599</v>
      </c>
      <c r="K483" s="130">
        <v>151</v>
      </c>
      <c r="L483" s="130">
        <v>699</v>
      </c>
      <c r="M483" s="131">
        <v>833793750</v>
      </c>
      <c r="N483" s="131">
        <v>0</v>
      </c>
      <c r="O483" s="132">
        <v>833793750</v>
      </c>
      <c r="P483" s="133">
        <v>1.3310617283950616E-3</v>
      </c>
      <c r="Q483" s="133">
        <v>0.63660641975308629</v>
      </c>
      <c r="R483" s="133">
        <v>0.36206251851851845</v>
      </c>
      <c r="S483" s="134">
        <v>0</v>
      </c>
      <c r="T483" s="135"/>
    </row>
    <row r="484" spans="2:20" ht="12.5" x14ac:dyDescent="0.25">
      <c r="B484" s="125" t="s">
        <v>231</v>
      </c>
      <c r="C484" s="126" t="s">
        <v>179</v>
      </c>
      <c r="D484" s="126" t="s">
        <v>584</v>
      </c>
      <c r="E484" s="126" t="s">
        <v>202</v>
      </c>
      <c r="F484" s="126" t="s">
        <v>24</v>
      </c>
      <c r="G484" s="126" t="s">
        <v>412</v>
      </c>
      <c r="H484" s="127">
        <v>44600</v>
      </c>
      <c r="I484" s="128">
        <v>23.5</v>
      </c>
      <c r="J484" s="129">
        <v>44602</v>
      </c>
      <c r="K484" s="130">
        <v>379</v>
      </c>
      <c r="L484" s="130">
        <v>1119</v>
      </c>
      <c r="M484" s="131">
        <v>2782282500</v>
      </c>
      <c r="N484" s="131">
        <v>0</v>
      </c>
      <c r="O484" s="132">
        <v>2782282500</v>
      </c>
      <c r="P484" s="133">
        <v>2.0494446556020103E-3</v>
      </c>
      <c r="Q484" s="133">
        <v>0.51389472528400693</v>
      </c>
      <c r="R484" s="133">
        <v>0.42685947886312764</v>
      </c>
      <c r="S484" s="134">
        <v>5.71963511972634E-2</v>
      </c>
      <c r="T484" s="135"/>
    </row>
    <row r="485" spans="2:20" ht="12.5" x14ac:dyDescent="0.25">
      <c r="B485" s="125" t="s">
        <v>532</v>
      </c>
      <c r="C485" s="126" t="s">
        <v>179</v>
      </c>
      <c r="D485" s="126" t="s">
        <v>627</v>
      </c>
      <c r="E485" s="126" t="s">
        <v>348</v>
      </c>
      <c r="F485" s="126" t="s">
        <v>24</v>
      </c>
      <c r="G485" s="126" t="s">
        <v>181</v>
      </c>
      <c r="H485" s="127">
        <v>44592</v>
      </c>
      <c r="I485" s="128">
        <v>9.6</v>
      </c>
      <c r="J485" s="129">
        <v>44594</v>
      </c>
      <c r="K485" s="130">
        <v>92</v>
      </c>
      <c r="L485" s="130">
        <v>127</v>
      </c>
      <c r="M485" s="131">
        <v>4800000</v>
      </c>
      <c r="N485" s="131">
        <v>0</v>
      </c>
      <c r="O485" s="132">
        <v>4800000</v>
      </c>
      <c r="P485" s="133">
        <v>0.31307799999999997</v>
      </c>
      <c r="Q485" s="133">
        <v>0.320932</v>
      </c>
      <c r="R485" s="133">
        <v>1.054E-3</v>
      </c>
      <c r="S485" s="134">
        <v>0.36493599999999998</v>
      </c>
      <c r="T485" s="135"/>
    </row>
    <row r="486" spans="2:20" ht="12.5" x14ac:dyDescent="0.25">
      <c r="B486" s="125" t="s">
        <v>533</v>
      </c>
      <c r="C486" s="126" t="s">
        <v>179</v>
      </c>
      <c r="D486" s="126" t="s">
        <v>597</v>
      </c>
      <c r="E486" s="126" t="s">
        <v>348</v>
      </c>
      <c r="F486" s="126" t="s">
        <v>24</v>
      </c>
      <c r="G486" s="126" t="s">
        <v>181</v>
      </c>
      <c r="H486" s="127">
        <v>44603</v>
      </c>
      <c r="I486" s="128">
        <v>13.75</v>
      </c>
      <c r="J486" s="129">
        <v>44606</v>
      </c>
      <c r="K486" s="130">
        <v>109</v>
      </c>
      <c r="L486" s="130">
        <v>129</v>
      </c>
      <c r="M486" s="131">
        <v>4592527.5</v>
      </c>
      <c r="N486" s="131">
        <v>0</v>
      </c>
      <c r="O486" s="132">
        <v>4592527.5</v>
      </c>
      <c r="P486" s="133">
        <v>0.36853970934305785</v>
      </c>
      <c r="Q486" s="133">
        <v>0.54437099179046833</v>
      </c>
      <c r="R486" s="133">
        <v>0</v>
      </c>
      <c r="S486" s="134">
        <v>8.7089298866473847E-2</v>
      </c>
      <c r="T486" s="135"/>
    </row>
    <row r="487" spans="2:20" ht="12.5" x14ac:dyDescent="0.25">
      <c r="B487" s="125" t="s">
        <v>517</v>
      </c>
      <c r="C487" s="126" t="s">
        <v>179</v>
      </c>
      <c r="D487" s="126" t="s">
        <v>639</v>
      </c>
      <c r="E487" s="126" t="s">
        <v>348</v>
      </c>
      <c r="F487" s="126" t="s">
        <v>24</v>
      </c>
      <c r="G487" s="126" t="s">
        <v>181</v>
      </c>
      <c r="H487" s="127">
        <v>44624</v>
      </c>
      <c r="I487" s="128">
        <v>14</v>
      </c>
      <c r="J487" s="129">
        <v>44648</v>
      </c>
      <c r="K487" s="130">
        <v>47</v>
      </c>
      <c r="L487" s="130">
        <v>73</v>
      </c>
      <c r="M487" s="131">
        <v>0</v>
      </c>
      <c r="N487" s="131">
        <v>6412196</v>
      </c>
      <c r="O487" s="132">
        <v>6412196</v>
      </c>
      <c r="P487" s="133">
        <v>0.16275921696716694</v>
      </c>
      <c r="Q487" s="133">
        <v>0.83537184452876989</v>
      </c>
      <c r="R487" s="133">
        <v>0</v>
      </c>
      <c r="S487" s="134">
        <v>1.8689385040631945E-3</v>
      </c>
      <c r="T487" s="135"/>
    </row>
    <row r="488" spans="2:20" ht="12.5" x14ac:dyDescent="0.25">
      <c r="B488" s="125" t="s">
        <v>415</v>
      </c>
      <c r="C488" s="126" t="s">
        <v>189</v>
      </c>
      <c r="D488" s="126" t="s">
        <v>598</v>
      </c>
      <c r="E488" s="126" t="s">
        <v>204</v>
      </c>
      <c r="F488" s="126" t="s">
        <v>24</v>
      </c>
      <c r="G488" s="126" t="s">
        <v>412</v>
      </c>
      <c r="H488" s="127">
        <v>44658</v>
      </c>
      <c r="I488" s="128">
        <v>12</v>
      </c>
      <c r="J488" s="129">
        <v>44662</v>
      </c>
      <c r="K488" s="130">
        <v>132</v>
      </c>
      <c r="L488" s="130">
        <v>208</v>
      </c>
      <c r="M488" s="131">
        <v>629400000</v>
      </c>
      <c r="N488" s="131">
        <v>0</v>
      </c>
      <c r="O488" s="132">
        <v>629400000</v>
      </c>
      <c r="P488" s="133">
        <v>2.6287702573879884E-3</v>
      </c>
      <c r="Q488" s="133">
        <v>0.18319521448999046</v>
      </c>
      <c r="R488" s="133">
        <v>7.0974318398474734E-2</v>
      </c>
      <c r="S488" s="134">
        <v>0.74320169685414683</v>
      </c>
      <c r="T488" s="135"/>
    </row>
    <row r="489" spans="2:20" ht="12.5" x14ac:dyDescent="0.25">
      <c r="B489" s="125" t="s">
        <v>538</v>
      </c>
      <c r="C489" s="126" t="s">
        <v>179</v>
      </c>
      <c r="D489" s="126" t="s">
        <v>604</v>
      </c>
      <c r="E489" s="126" t="s">
        <v>348</v>
      </c>
      <c r="F489" s="126" t="s">
        <v>24</v>
      </c>
      <c r="G489" s="126" t="s">
        <v>412</v>
      </c>
      <c r="H489" s="127">
        <v>44657</v>
      </c>
      <c r="I489" s="128">
        <v>19</v>
      </c>
      <c r="J489" s="129">
        <v>44659</v>
      </c>
      <c r="K489" s="130">
        <v>3</v>
      </c>
      <c r="L489" s="130">
        <v>226</v>
      </c>
      <c r="M489" s="131">
        <v>0</v>
      </c>
      <c r="N489" s="131">
        <v>904400000</v>
      </c>
      <c r="O489" s="132">
        <v>904400000</v>
      </c>
      <c r="P489" s="133">
        <v>4.2846638655462182E-4</v>
      </c>
      <c r="Q489" s="133">
        <v>0.58890892857142862</v>
      </c>
      <c r="R489" s="133">
        <v>0.41066260504201679</v>
      </c>
      <c r="S489" s="134">
        <v>0</v>
      </c>
      <c r="T489" s="135"/>
    </row>
    <row r="490" spans="2:20" ht="12.5" x14ac:dyDescent="0.25">
      <c r="B490" s="125" t="s">
        <v>434</v>
      </c>
      <c r="C490" s="126" t="s">
        <v>179</v>
      </c>
      <c r="D490" s="126" t="s">
        <v>584</v>
      </c>
      <c r="E490" s="126" t="s">
        <v>556</v>
      </c>
      <c r="F490" s="126" t="s">
        <v>24</v>
      </c>
      <c r="G490" s="126" t="s">
        <v>412</v>
      </c>
      <c r="H490" s="127">
        <v>44735</v>
      </c>
      <c r="I490" s="128">
        <v>14</v>
      </c>
      <c r="J490" s="129">
        <v>44740</v>
      </c>
      <c r="K490" s="130">
        <v>0</v>
      </c>
      <c r="L490" s="130">
        <v>906</v>
      </c>
      <c r="M490" s="131">
        <v>4200000000</v>
      </c>
      <c r="N490" s="131">
        <v>0</v>
      </c>
      <c r="O490" s="132">
        <v>4200000000</v>
      </c>
      <c r="P490" s="133">
        <v>0</v>
      </c>
      <c r="Q490" s="133">
        <v>0.14343439999999999</v>
      </c>
      <c r="R490" s="133">
        <v>5.1387106666666668E-2</v>
      </c>
      <c r="S490" s="134">
        <v>0.80517849333333336</v>
      </c>
      <c r="T490" s="135"/>
    </row>
    <row r="491" spans="2:20" ht="12.5" x14ac:dyDescent="0.25">
      <c r="B491" s="125" t="s">
        <v>557</v>
      </c>
      <c r="C491" s="126" t="s">
        <v>189</v>
      </c>
      <c r="D491" s="126" t="s">
        <v>584</v>
      </c>
      <c r="E491" s="126" t="s">
        <v>348</v>
      </c>
      <c r="F491" s="126" t="s">
        <v>24</v>
      </c>
      <c r="G491" s="126" t="s">
        <v>181</v>
      </c>
      <c r="H491" s="127">
        <v>44721</v>
      </c>
      <c r="I491" s="128">
        <v>42</v>
      </c>
      <c r="J491" s="129">
        <v>44725</v>
      </c>
      <c r="K491" s="130">
        <v>32573</v>
      </c>
      <c r="L491" s="130">
        <v>34759</v>
      </c>
      <c r="M491" s="131">
        <v>30756468456</v>
      </c>
      <c r="N491" s="131">
        <v>2931663672</v>
      </c>
      <c r="O491" s="132">
        <v>33688132128</v>
      </c>
      <c r="P491" s="133">
        <v>9.425949173836011E-2</v>
      </c>
      <c r="Q491" s="133">
        <v>0.5553667690720594</v>
      </c>
      <c r="R491" s="133">
        <v>0.32510708436983959</v>
      </c>
      <c r="S491" s="134">
        <v>1.3069771999440906E-2</v>
      </c>
      <c r="T491" s="135"/>
    </row>
    <row r="492" spans="2:20" ht="12.5" x14ac:dyDescent="0.25">
      <c r="B492" s="136" t="s">
        <v>526</v>
      </c>
      <c r="C492" s="137" t="s">
        <v>179</v>
      </c>
      <c r="D492" s="137" t="s">
        <v>653</v>
      </c>
      <c r="E492" s="137" t="s">
        <v>204</v>
      </c>
      <c r="F492" s="137" t="s">
        <v>24</v>
      </c>
      <c r="G492" s="137" t="s">
        <v>412</v>
      </c>
      <c r="H492" s="138">
        <v>44726</v>
      </c>
      <c r="I492" s="139">
        <v>23.5</v>
      </c>
      <c r="J492" s="140">
        <v>44729</v>
      </c>
      <c r="K492" s="141">
        <v>101</v>
      </c>
      <c r="L492" s="141">
        <v>506</v>
      </c>
      <c r="M492" s="142">
        <v>1034000000</v>
      </c>
      <c r="N492" s="142">
        <v>0</v>
      </c>
      <c r="O492" s="143">
        <v>1034000000</v>
      </c>
      <c r="P492" s="144">
        <v>2.3772727272727274E-3</v>
      </c>
      <c r="Q492" s="144">
        <v>0.83216015909090912</v>
      </c>
      <c r="R492" s="144">
        <v>7.6363636363636364E-6</v>
      </c>
      <c r="S492" s="145">
        <v>0</v>
      </c>
      <c r="T492" s="135"/>
    </row>
    <row r="493" spans="2:20" ht="13" thickBot="1" x14ac:dyDescent="0.3">
      <c r="B493" s="146" t="s">
        <v>405</v>
      </c>
      <c r="C493" s="147" t="s">
        <v>179</v>
      </c>
      <c r="D493" s="147" t="s">
        <v>648</v>
      </c>
      <c r="E493" s="147" t="s">
        <v>339</v>
      </c>
      <c r="F493" s="147" t="s">
        <v>24</v>
      </c>
      <c r="G493" s="147" t="s">
        <v>412</v>
      </c>
      <c r="H493" s="148">
        <v>44735</v>
      </c>
      <c r="I493" s="149">
        <v>7.7</v>
      </c>
      <c r="J493" s="150">
        <v>44739</v>
      </c>
      <c r="K493" s="151">
        <v>800</v>
      </c>
      <c r="L493" s="151">
        <v>1046</v>
      </c>
      <c r="M493" s="152">
        <v>402806250</v>
      </c>
      <c r="N493" s="152">
        <v>0</v>
      </c>
      <c r="O493" s="153">
        <v>402806250</v>
      </c>
      <c r="P493" s="154">
        <v>9.4403632019115901E-3</v>
      </c>
      <c r="Q493" s="154">
        <v>0.47047118757467149</v>
      </c>
      <c r="R493" s="154">
        <v>0.51550623655913974</v>
      </c>
      <c r="S493" s="155">
        <v>4.5822126642771806E-3</v>
      </c>
      <c r="T493" s="135"/>
    </row>
    <row r="494" spans="2:20" ht="13.5" thickTop="1" thickBot="1" x14ac:dyDescent="0.3">
      <c r="B494" s="146" t="s">
        <v>426</v>
      </c>
      <c r="C494" s="147" t="s">
        <v>179</v>
      </c>
      <c r="D494" s="147" t="s">
        <v>666</v>
      </c>
      <c r="E494" s="147" t="s">
        <v>190</v>
      </c>
      <c r="F494" s="147" t="s">
        <v>24</v>
      </c>
      <c r="G494" s="147" t="s">
        <v>412</v>
      </c>
      <c r="H494" s="148">
        <v>44805</v>
      </c>
      <c r="I494" s="149">
        <v>1</v>
      </c>
      <c r="J494" s="150">
        <v>44809</v>
      </c>
      <c r="K494" s="151">
        <v>9476</v>
      </c>
      <c r="L494" s="151">
        <v>10650</v>
      </c>
      <c r="M494" s="152">
        <v>1200000000</v>
      </c>
      <c r="N494" s="152">
        <v>0</v>
      </c>
      <c r="O494" s="153">
        <v>1200000000</v>
      </c>
      <c r="P494" s="154">
        <v>5.8085305833333337E-2</v>
      </c>
      <c r="Q494" s="154">
        <v>0.57171718666666671</v>
      </c>
      <c r="R494" s="154">
        <v>0.1489560375</v>
      </c>
      <c r="S494" s="155">
        <v>0.22124147</v>
      </c>
      <c r="T494" s="135"/>
    </row>
    <row r="495" spans="2:20" ht="13.5" thickTop="1" thickBot="1" x14ac:dyDescent="0.3">
      <c r="B495" s="146" t="s">
        <v>503</v>
      </c>
      <c r="C495" s="147" t="s">
        <v>179</v>
      </c>
      <c r="D495" s="147" t="s">
        <v>643</v>
      </c>
      <c r="E495" s="147" t="s">
        <v>348</v>
      </c>
      <c r="F495" s="147" t="s">
        <v>24</v>
      </c>
      <c r="G495" s="147" t="s">
        <v>412</v>
      </c>
      <c r="H495" s="148">
        <v>44825</v>
      </c>
      <c r="I495" s="149">
        <v>13.25</v>
      </c>
      <c r="J495" s="150">
        <v>44827</v>
      </c>
      <c r="K495" s="151">
        <v>191</v>
      </c>
      <c r="L495" s="151">
        <v>272</v>
      </c>
      <c r="M495" s="152">
        <v>641432500</v>
      </c>
      <c r="N495" s="152">
        <v>0</v>
      </c>
      <c r="O495" s="153">
        <v>641432500</v>
      </c>
      <c r="P495" s="154">
        <v>5.0047510844866759E-4</v>
      </c>
      <c r="Q495" s="154">
        <v>0.41163123321627765</v>
      </c>
      <c r="R495" s="154">
        <v>0.58673538525098123</v>
      </c>
      <c r="S495" s="155">
        <v>1.1329064242925015E-3</v>
      </c>
      <c r="T495" s="135"/>
    </row>
    <row r="496" spans="2:20" ht="13.5" thickTop="1" thickBot="1" x14ac:dyDescent="0.3">
      <c r="B496" s="146" t="s">
        <v>558</v>
      </c>
      <c r="C496" s="147" t="s">
        <v>179</v>
      </c>
      <c r="D496" s="147" t="s">
        <v>603</v>
      </c>
      <c r="E496" s="147" t="s">
        <v>348</v>
      </c>
      <c r="F496" s="147" t="s">
        <v>24</v>
      </c>
      <c r="G496" s="147" t="s">
        <v>412</v>
      </c>
      <c r="H496" s="148">
        <v>44824</v>
      </c>
      <c r="I496" s="149">
        <v>19.739999999999998</v>
      </c>
      <c r="J496" s="150">
        <v>44826</v>
      </c>
      <c r="K496" s="151">
        <v>0</v>
      </c>
      <c r="L496" s="151">
        <v>1617</v>
      </c>
      <c r="M496" s="152">
        <v>720036240</v>
      </c>
      <c r="N496" s="152">
        <v>0</v>
      </c>
      <c r="O496" s="153">
        <v>720036240</v>
      </c>
      <c r="P496" s="154">
        <v>0</v>
      </c>
      <c r="Q496" s="154">
        <v>8.7394231823664875E-2</v>
      </c>
      <c r="R496" s="154">
        <v>0</v>
      </c>
      <c r="S496" s="155">
        <v>0.46944980260993524</v>
      </c>
      <c r="T496" s="135"/>
    </row>
    <row r="497" spans="2:20" ht="13.5" thickTop="1" thickBot="1" x14ac:dyDescent="0.3">
      <c r="B497" s="146" t="s">
        <v>559</v>
      </c>
      <c r="C497" s="147" t="s">
        <v>179</v>
      </c>
      <c r="D497" s="147" t="s">
        <v>625</v>
      </c>
      <c r="E497" s="147" t="s">
        <v>204</v>
      </c>
      <c r="F497" s="147" t="s">
        <v>24</v>
      </c>
      <c r="G497" s="147" t="s">
        <v>412</v>
      </c>
      <c r="H497" s="148">
        <v>44894</v>
      </c>
      <c r="I497" s="149">
        <v>19</v>
      </c>
      <c r="J497" s="150">
        <v>44896</v>
      </c>
      <c r="K497" s="151">
        <v>0</v>
      </c>
      <c r="L497" s="151">
        <v>441</v>
      </c>
      <c r="M497" s="152">
        <v>0</v>
      </c>
      <c r="N497" s="152">
        <v>2675200000</v>
      </c>
      <c r="O497" s="153">
        <v>2675200000</v>
      </c>
      <c r="P497" s="154">
        <v>1.6137073863636364E-4</v>
      </c>
      <c r="Q497" s="154">
        <v>0.50204392755681815</v>
      </c>
      <c r="R497" s="154">
        <v>0.48359015625000001</v>
      </c>
      <c r="S497" s="155">
        <v>0</v>
      </c>
      <c r="T497" s="135"/>
    </row>
    <row r="498" spans="2:20" ht="15.5" thickTop="1" thickBot="1" x14ac:dyDescent="0.3">
      <c r="B498" s="146" t="s">
        <v>28</v>
      </c>
      <c r="C498" s="147" t="s">
        <v>552</v>
      </c>
      <c r="D498" s="147" t="s">
        <v>661</v>
      </c>
      <c r="E498" s="147" t="s">
        <v>348</v>
      </c>
      <c r="F498" s="147" t="s">
        <v>24</v>
      </c>
      <c r="G498" s="147" t="s">
        <v>412</v>
      </c>
      <c r="H498" s="148">
        <v>44910</v>
      </c>
      <c r="I498" s="149">
        <v>7.16</v>
      </c>
      <c r="J498" s="150">
        <v>44916</v>
      </c>
      <c r="K498" s="151">
        <v>0</v>
      </c>
      <c r="L498" s="151">
        <v>0</v>
      </c>
      <c r="M498" s="152">
        <v>70000004.920000002</v>
      </c>
      <c r="N498" s="152">
        <v>0</v>
      </c>
      <c r="O498" s="153">
        <v>70000004.920000002</v>
      </c>
      <c r="P498" s="154">
        <v>0</v>
      </c>
      <c r="Q498" s="154">
        <v>0</v>
      </c>
      <c r="R498" s="154">
        <v>0</v>
      </c>
      <c r="S498" s="155">
        <v>0</v>
      </c>
      <c r="T498" s="135"/>
    </row>
    <row r="499" spans="2:20" ht="13.5" thickTop="1" thickBot="1" x14ac:dyDescent="0.3">
      <c r="B499" s="146" t="s">
        <v>559</v>
      </c>
      <c r="C499" s="147" t="s">
        <v>179</v>
      </c>
      <c r="D499" s="147" t="s">
        <v>625</v>
      </c>
      <c r="E499" s="147" t="s">
        <v>348</v>
      </c>
      <c r="F499" s="147" t="s">
        <v>24</v>
      </c>
      <c r="G499" s="147" t="s">
        <v>29</v>
      </c>
      <c r="H499" s="148">
        <v>45001</v>
      </c>
      <c r="I499" s="149">
        <v>16</v>
      </c>
      <c r="J499" s="150">
        <v>45005</v>
      </c>
      <c r="K499" s="151">
        <v>0</v>
      </c>
      <c r="L499" s="151">
        <v>489</v>
      </c>
      <c r="M499" s="152">
        <v>0</v>
      </c>
      <c r="N499" s="152">
        <v>4064000000</v>
      </c>
      <c r="O499" s="153">
        <v>4064000000</v>
      </c>
      <c r="P499" s="154">
        <v>5.1618897637795277E-4</v>
      </c>
      <c r="Q499" s="154">
        <v>0.45671154724409446</v>
      </c>
      <c r="R499" s="154">
        <v>0.49669043307086613</v>
      </c>
      <c r="S499" s="155">
        <v>0</v>
      </c>
      <c r="T499" s="135"/>
    </row>
    <row r="500" spans="2:20" ht="13.5" thickTop="1" thickBot="1" x14ac:dyDescent="0.3">
      <c r="B500" s="146" t="s">
        <v>441</v>
      </c>
      <c r="C500" s="147" t="s">
        <v>179</v>
      </c>
      <c r="D500" s="147" t="s">
        <v>654</v>
      </c>
      <c r="E500" s="147" t="s">
        <v>461</v>
      </c>
      <c r="F500" s="147" t="s">
        <v>24</v>
      </c>
      <c r="G500" s="147" t="s">
        <v>29</v>
      </c>
      <c r="H500" s="148">
        <v>45028</v>
      </c>
      <c r="I500" s="149">
        <v>2.68</v>
      </c>
      <c r="J500" s="150">
        <v>45030</v>
      </c>
      <c r="K500" s="151">
        <v>116</v>
      </c>
      <c r="L500" s="151">
        <v>823</v>
      </c>
      <c r="M500" s="152">
        <v>1059156153.6</v>
      </c>
      <c r="N500" s="152">
        <v>0</v>
      </c>
      <c r="O500" s="153">
        <v>1059156153.6</v>
      </c>
      <c r="P500" s="154">
        <v>0.34101653480682759</v>
      </c>
      <c r="Q500" s="154">
        <v>0.22346492799529727</v>
      </c>
      <c r="R500" s="154">
        <v>0.43540081929615104</v>
      </c>
      <c r="S500" s="155">
        <v>9.2414739476617242E-5</v>
      </c>
      <c r="T500" s="135"/>
    </row>
    <row r="501" spans="2:20" ht="13.5" thickTop="1" thickBot="1" x14ac:dyDescent="0.3">
      <c r="B501" s="146" t="s">
        <v>197</v>
      </c>
      <c r="C501" s="147" t="s">
        <v>179</v>
      </c>
      <c r="D501" s="147" t="s">
        <v>654</v>
      </c>
      <c r="E501" s="147" t="s">
        <v>190</v>
      </c>
      <c r="F501" s="147" t="s">
        <v>24</v>
      </c>
      <c r="G501" s="147" t="s">
        <v>29</v>
      </c>
      <c r="H501" s="148">
        <v>45034</v>
      </c>
      <c r="I501" s="149">
        <v>8.5</v>
      </c>
      <c r="J501" s="150">
        <v>45036</v>
      </c>
      <c r="K501" s="151">
        <v>26</v>
      </c>
      <c r="L501" s="151">
        <v>81</v>
      </c>
      <c r="M501" s="152">
        <v>1673290229</v>
      </c>
      <c r="N501" s="152">
        <v>0</v>
      </c>
      <c r="O501" s="153">
        <v>1673290229</v>
      </c>
      <c r="P501" s="154">
        <v>4.5724404932265939E-4</v>
      </c>
      <c r="Q501" s="154">
        <v>9.2077843000420694E-3</v>
      </c>
      <c r="R501" s="154">
        <v>2.5077274864072609E-2</v>
      </c>
      <c r="S501" s="155">
        <v>0.9652576967865627</v>
      </c>
      <c r="T501" s="135"/>
    </row>
    <row r="502" spans="2:20" ht="13.5" thickTop="1" thickBot="1" x14ac:dyDescent="0.3">
      <c r="B502" s="146" t="s">
        <v>512</v>
      </c>
      <c r="C502" s="147" t="s">
        <v>179</v>
      </c>
      <c r="D502" s="147" t="s">
        <v>586</v>
      </c>
      <c r="E502" s="147" t="s">
        <v>348</v>
      </c>
      <c r="F502" s="147" t="s">
        <v>24</v>
      </c>
      <c r="G502" s="147" t="s">
        <v>29</v>
      </c>
      <c r="H502" s="148">
        <v>45043</v>
      </c>
      <c r="I502" s="149">
        <v>34</v>
      </c>
      <c r="J502" s="150">
        <v>45048</v>
      </c>
      <c r="K502" s="151">
        <v>18</v>
      </c>
      <c r="L502" s="151">
        <v>230</v>
      </c>
      <c r="M502" s="152">
        <v>91120000</v>
      </c>
      <c r="N502" s="152">
        <v>278181846</v>
      </c>
      <c r="O502" s="153">
        <v>369301846</v>
      </c>
      <c r="P502" s="154">
        <v>2.8294524149223995E-3</v>
      </c>
      <c r="Q502" s="154">
        <v>0.53802120989127145</v>
      </c>
      <c r="R502" s="154">
        <v>0.34267409537942034</v>
      </c>
      <c r="S502" s="155">
        <v>0.11647524231438583</v>
      </c>
      <c r="T502" s="135"/>
    </row>
    <row r="503" spans="2:20" ht="13.5" thickTop="1" thickBot="1" x14ac:dyDescent="0.3">
      <c r="B503" s="146" t="s">
        <v>534</v>
      </c>
      <c r="C503" s="147" t="s">
        <v>179</v>
      </c>
      <c r="D503" s="147" t="s">
        <v>663</v>
      </c>
      <c r="E503" s="147" t="s">
        <v>204</v>
      </c>
      <c r="F503" s="147" t="s">
        <v>24</v>
      </c>
      <c r="G503" s="147" t="s">
        <v>29</v>
      </c>
      <c r="H503" s="148">
        <v>45075</v>
      </c>
      <c r="I503" s="149">
        <v>18.149999999999999</v>
      </c>
      <c r="J503" s="150">
        <v>45077</v>
      </c>
      <c r="K503" s="151">
        <v>0</v>
      </c>
      <c r="L503" s="151">
        <v>277</v>
      </c>
      <c r="M503" s="152">
        <v>0</v>
      </c>
      <c r="N503" s="152">
        <v>591730873.79999995</v>
      </c>
      <c r="O503" s="153">
        <v>591730873.79999995</v>
      </c>
      <c r="P503" s="154">
        <v>8.2791826773193468E-4</v>
      </c>
      <c r="Q503" s="154">
        <v>0.87805121560314303</v>
      </c>
      <c r="R503" s="154">
        <v>0.12112086612912505</v>
      </c>
      <c r="S503" s="155">
        <v>0</v>
      </c>
      <c r="T503" s="135"/>
    </row>
    <row r="504" spans="2:20" ht="13.5" thickTop="1" thickBot="1" x14ac:dyDescent="0.3">
      <c r="B504" s="146" t="s">
        <v>547</v>
      </c>
      <c r="C504" s="147" t="s">
        <v>179</v>
      </c>
      <c r="D504" s="147" t="s">
        <v>654</v>
      </c>
      <c r="E504" s="147" t="s">
        <v>447</v>
      </c>
      <c r="F504" s="147" t="s">
        <v>24</v>
      </c>
      <c r="G504" s="147" t="s">
        <v>29</v>
      </c>
      <c r="H504" s="148">
        <v>45097</v>
      </c>
      <c r="I504" s="149">
        <v>10.25</v>
      </c>
      <c r="J504" s="150">
        <v>45099</v>
      </c>
      <c r="K504" s="151">
        <v>83</v>
      </c>
      <c r="L504" s="151">
        <v>290</v>
      </c>
      <c r="M504" s="152">
        <v>205000000</v>
      </c>
      <c r="N504" s="152">
        <v>691875000</v>
      </c>
      <c r="O504" s="153">
        <v>896875000</v>
      </c>
      <c r="P504" s="154">
        <v>1.2096937142857143E-2</v>
      </c>
      <c r="Q504" s="154">
        <v>0.31990948571428574</v>
      </c>
      <c r="R504" s="154">
        <v>0.65050881142857142</v>
      </c>
      <c r="S504" s="155">
        <v>1.7484765714285713E-2</v>
      </c>
      <c r="T504" s="135"/>
    </row>
    <row r="505" spans="2:20" ht="13.5" thickTop="1" thickBot="1" x14ac:dyDescent="0.3">
      <c r="B505" s="146" t="s">
        <v>405</v>
      </c>
      <c r="C505" s="147" t="s">
        <v>179</v>
      </c>
      <c r="D505" s="147" t="s">
        <v>648</v>
      </c>
      <c r="E505" s="147" t="s">
        <v>339</v>
      </c>
      <c r="F505" s="147" t="s">
        <v>24</v>
      </c>
      <c r="G505" s="147" t="s">
        <v>29</v>
      </c>
      <c r="H505" s="148">
        <v>45099</v>
      </c>
      <c r="I505" s="149">
        <v>3.3</v>
      </c>
      <c r="J505" s="150">
        <v>45103</v>
      </c>
      <c r="K505" s="151">
        <v>705</v>
      </c>
      <c r="L505" s="151">
        <v>872</v>
      </c>
      <c r="M505" s="152">
        <v>549999997.79999995</v>
      </c>
      <c r="N505" s="152">
        <v>0</v>
      </c>
      <c r="O505" s="153">
        <v>549999997.79999995</v>
      </c>
      <c r="P505" s="154">
        <v>1.7836404071345617E-2</v>
      </c>
      <c r="Q505" s="154">
        <v>0.74633372698533496</v>
      </c>
      <c r="R505" s="154">
        <v>0.23578803694315217</v>
      </c>
      <c r="S505" s="155">
        <v>4.1832000167328E-5</v>
      </c>
      <c r="T505" s="135"/>
    </row>
    <row r="506" spans="2:20" ht="13.5" thickTop="1" thickBot="1" x14ac:dyDescent="0.3">
      <c r="B506" s="146" t="s">
        <v>212</v>
      </c>
      <c r="C506" s="147" t="s">
        <v>179</v>
      </c>
      <c r="D506" s="147" t="s">
        <v>643</v>
      </c>
      <c r="E506" s="147" t="s">
        <v>204</v>
      </c>
      <c r="F506" s="147" t="s">
        <v>24</v>
      </c>
      <c r="G506" s="147" t="s">
        <v>29</v>
      </c>
      <c r="H506" s="148">
        <v>45103</v>
      </c>
      <c r="I506" s="149">
        <v>66.64</v>
      </c>
      <c r="J506" s="150">
        <v>45105</v>
      </c>
      <c r="K506" s="151">
        <v>329</v>
      </c>
      <c r="L506" s="151">
        <v>1138</v>
      </c>
      <c r="M506" s="152">
        <v>4500000079.6800003</v>
      </c>
      <c r="N506" s="152">
        <v>0</v>
      </c>
      <c r="O506" s="153">
        <v>4500000079.6800003</v>
      </c>
      <c r="P506" s="154">
        <v>2.1279484423211261E-3</v>
      </c>
      <c r="Q506" s="154">
        <v>0.41592212017318342</v>
      </c>
      <c r="R506" s="154">
        <v>0.57999444725912053</v>
      </c>
      <c r="S506" s="155">
        <v>1.955484125374894E-3</v>
      </c>
      <c r="T506" s="135"/>
    </row>
    <row r="507" spans="2:20" ht="13.5" thickTop="1" thickBot="1" x14ac:dyDescent="0.3">
      <c r="B507" s="146" t="s">
        <v>503</v>
      </c>
      <c r="C507" s="147" t="s">
        <v>179</v>
      </c>
      <c r="D507" s="147" t="s">
        <v>643</v>
      </c>
      <c r="E507" s="147" t="s">
        <v>348</v>
      </c>
      <c r="F507" s="147" t="s">
        <v>24</v>
      </c>
      <c r="G507" s="147" t="s">
        <v>29</v>
      </c>
      <c r="H507" s="148">
        <v>45106</v>
      </c>
      <c r="I507" s="149">
        <v>11</v>
      </c>
      <c r="J507" s="150">
        <v>45107</v>
      </c>
      <c r="K507" s="151">
        <v>828</v>
      </c>
      <c r="L507" s="151">
        <v>1262</v>
      </c>
      <c r="M507" s="152">
        <v>868192589</v>
      </c>
      <c r="N507" s="152">
        <v>434096289</v>
      </c>
      <c r="O507" s="153">
        <v>1302288878</v>
      </c>
      <c r="P507" s="154">
        <v>1.8056861574456294E-3</v>
      </c>
      <c r="Q507" s="154">
        <v>0.3301534561673497</v>
      </c>
      <c r="R507" s="154">
        <v>0.45902915635589109</v>
      </c>
      <c r="S507" s="155">
        <v>0.20901170131931357</v>
      </c>
      <c r="T507" s="135"/>
    </row>
    <row r="508" spans="2:20" ht="13.5" thickTop="1" thickBot="1" x14ac:dyDescent="0.3">
      <c r="B508" s="146" t="s">
        <v>353</v>
      </c>
      <c r="C508" s="147" t="s">
        <v>179</v>
      </c>
      <c r="D508" s="147" t="s">
        <v>655</v>
      </c>
      <c r="E508" s="147" t="s">
        <v>204</v>
      </c>
      <c r="F508" s="147" t="s">
        <v>24</v>
      </c>
      <c r="G508" s="147" t="s">
        <v>29</v>
      </c>
      <c r="H508" s="148">
        <v>45106</v>
      </c>
      <c r="I508" s="149">
        <v>18.25</v>
      </c>
      <c r="J508" s="150">
        <v>45110</v>
      </c>
      <c r="K508" s="151">
        <v>514</v>
      </c>
      <c r="L508" s="151">
        <v>884</v>
      </c>
      <c r="M508" s="152">
        <v>428875000</v>
      </c>
      <c r="N508" s="152">
        <v>0</v>
      </c>
      <c r="O508" s="153">
        <v>428875000</v>
      </c>
      <c r="P508" s="154">
        <v>4.0331489361702128E-3</v>
      </c>
      <c r="Q508" s="154">
        <v>0.63431285106382984</v>
      </c>
      <c r="R508" s="154">
        <v>0.35717612765957446</v>
      </c>
      <c r="S508" s="155">
        <v>4.4778723404255323E-3</v>
      </c>
      <c r="T508" s="135"/>
    </row>
    <row r="509" spans="2:20" ht="13.5" thickTop="1" thickBot="1" x14ac:dyDescent="0.3">
      <c r="B509" s="146" t="s">
        <v>484</v>
      </c>
      <c r="C509" s="147" t="s">
        <v>179</v>
      </c>
      <c r="D509" s="147" t="s">
        <v>667</v>
      </c>
      <c r="E509" s="147" t="s">
        <v>204</v>
      </c>
      <c r="F509" s="147" t="s">
        <v>24</v>
      </c>
      <c r="G509" s="147" t="s">
        <v>29</v>
      </c>
      <c r="H509" s="148">
        <v>45119</v>
      </c>
      <c r="I509" s="149">
        <v>3.4</v>
      </c>
      <c r="J509" s="150">
        <v>45119</v>
      </c>
      <c r="K509" s="151">
        <v>1</v>
      </c>
      <c r="L509" s="151">
        <v>167</v>
      </c>
      <c r="M509" s="152">
        <v>0</v>
      </c>
      <c r="N509" s="152">
        <v>442000000</v>
      </c>
      <c r="O509" s="153">
        <v>442000000</v>
      </c>
      <c r="P509" s="154">
        <v>2.4537692307692307E-3</v>
      </c>
      <c r="Q509" s="154">
        <v>0.58281086923076919</v>
      </c>
      <c r="R509" s="154">
        <v>0.22242766923076923</v>
      </c>
      <c r="S509" s="155">
        <v>0.19230769230769232</v>
      </c>
      <c r="T509" s="135"/>
    </row>
    <row r="510" spans="2:20" ht="13.5" thickTop="1" thickBot="1" x14ac:dyDescent="0.3">
      <c r="B510" s="146" t="s">
        <v>307</v>
      </c>
      <c r="C510" s="147" t="s">
        <v>179</v>
      </c>
      <c r="D510" s="147" t="s">
        <v>655</v>
      </c>
      <c r="E510" s="147" t="s">
        <v>348</v>
      </c>
      <c r="F510" s="147" t="s">
        <v>24</v>
      </c>
      <c r="G510" s="147" t="s">
        <v>29</v>
      </c>
      <c r="H510" s="148">
        <v>45120</v>
      </c>
      <c r="I510" s="149">
        <v>12.8</v>
      </c>
      <c r="J510" s="150">
        <v>45124</v>
      </c>
      <c r="K510" s="151">
        <v>406</v>
      </c>
      <c r="L510" s="151">
        <v>839</v>
      </c>
      <c r="M510" s="152">
        <v>1000793600</v>
      </c>
      <c r="N510" s="152">
        <v>0</v>
      </c>
      <c r="O510" s="153">
        <v>1000793600</v>
      </c>
      <c r="P510" s="154">
        <v>2.3110875209433794E-3</v>
      </c>
      <c r="Q510" s="154">
        <v>0.63745205724736853</v>
      </c>
      <c r="R510" s="154">
        <v>0.35017959507334984</v>
      </c>
      <c r="S510" s="155">
        <v>1.0057260158338343E-2</v>
      </c>
      <c r="T510" s="135"/>
    </row>
    <row r="511" spans="2:20" ht="13.5" thickTop="1" thickBot="1" x14ac:dyDescent="0.3">
      <c r="B511" s="146" t="s">
        <v>560</v>
      </c>
      <c r="C511" s="147" t="s">
        <v>179</v>
      </c>
      <c r="D511" s="147" t="s">
        <v>606</v>
      </c>
      <c r="E511" s="147" t="s">
        <v>487</v>
      </c>
      <c r="F511" s="147" t="s">
        <v>24</v>
      </c>
      <c r="G511" s="147" t="s">
        <v>29</v>
      </c>
      <c r="H511" s="148">
        <v>45121</v>
      </c>
      <c r="I511" s="149">
        <v>9</v>
      </c>
      <c r="J511" s="150">
        <v>45124</v>
      </c>
      <c r="K511" s="151">
        <v>503</v>
      </c>
      <c r="L511" s="151">
        <v>890</v>
      </c>
      <c r="M511" s="152">
        <v>5400000000</v>
      </c>
      <c r="N511" s="152">
        <v>0</v>
      </c>
      <c r="O511" s="153">
        <v>5400000000</v>
      </c>
      <c r="P511" s="154">
        <v>6.5553033333333333E-3</v>
      </c>
      <c r="Q511" s="154">
        <v>0.25606684666666668</v>
      </c>
      <c r="R511" s="154">
        <v>0.40318886333333331</v>
      </c>
      <c r="S511" s="155">
        <v>0.33418898666666669</v>
      </c>
      <c r="T511" s="135"/>
    </row>
    <row r="512" spans="2:20" ht="13.5" thickTop="1" thickBot="1" x14ac:dyDescent="0.3">
      <c r="B512" s="146" t="s">
        <v>561</v>
      </c>
      <c r="C512" s="147" t="s">
        <v>179</v>
      </c>
      <c r="D512" s="147" t="s">
        <v>618</v>
      </c>
      <c r="E512" s="147" t="s">
        <v>562</v>
      </c>
      <c r="F512" s="147" t="s">
        <v>24</v>
      </c>
      <c r="G512" s="147" t="s">
        <v>29</v>
      </c>
      <c r="H512" s="148">
        <v>45139</v>
      </c>
      <c r="I512" s="149">
        <v>21.21</v>
      </c>
      <c r="J512" s="150">
        <v>45139</v>
      </c>
      <c r="K512" s="151">
        <v>5</v>
      </c>
      <c r="L512" s="151">
        <v>195</v>
      </c>
      <c r="M512" s="152">
        <v>778348630.08000004</v>
      </c>
      <c r="N512" s="152">
        <v>445410000</v>
      </c>
      <c r="O512" s="153">
        <v>1223758630.0799999</v>
      </c>
      <c r="P512" s="154">
        <v>1.4167400150523642E-3</v>
      </c>
      <c r="Q512" s="154">
        <v>0.57070897038278157</v>
      </c>
      <c r="R512" s="154">
        <v>0.41790552991366242</v>
      </c>
      <c r="S512" s="155">
        <v>9.968759688503687E-3</v>
      </c>
      <c r="T512" s="135"/>
    </row>
    <row r="513" spans="2:20" ht="13.5" thickTop="1" thickBot="1" x14ac:dyDescent="0.3">
      <c r="B513" s="146" t="s">
        <v>563</v>
      </c>
      <c r="C513" s="147" t="s">
        <v>184</v>
      </c>
      <c r="D513" s="147" t="s">
        <v>584</v>
      </c>
      <c r="E513" s="147" t="s">
        <v>564</v>
      </c>
      <c r="F513" s="147" t="s">
        <v>24</v>
      </c>
      <c r="G513" s="147" t="s">
        <v>29</v>
      </c>
      <c r="H513" s="148">
        <v>45146</v>
      </c>
      <c r="I513" s="149">
        <v>8.25</v>
      </c>
      <c r="J513" s="150">
        <v>45148</v>
      </c>
      <c r="K513" s="151">
        <v>3838</v>
      </c>
      <c r="L513" s="151">
        <v>4473</v>
      </c>
      <c r="M513" s="152">
        <v>2031618938.25</v>
      </c>
      <c r="N513" s="152">
        <v>3099820424.25</v>
      </c>
      <c r="O513" s="153">
        <v>5131439362.5</v>
      </c>
      <c r="P513" s="154">
        <v>1.6074064540794814E-2</v>
      </c>
      <c r="Q513" s="154">
        <v>0.55441000468413892</v>
      </c>
      <c r="R513" s="154">
        <v>0.44362849946860305</v>
      </c>
      <c r="S513" s="155">
        <v>1.2477414323143528E-3</v>
      </c>
      <c r="T513" s="135"/>
    </row>
    <row r="514" spans="2:20" ht="13.5" thickTop="1" thickBot="1" x14ac:dyDescent="0.3">
      <c r="B514" s="146" t="s">
        <v>323</v>
      </c>
      <c r="C514" s="147" t="s">
        <v>179</v>
      </c>
      <c r="D514" s="147" t="s">
        <v>655</v>
      </c>
      <c r="E514" s="147" t="s">
        <v>565</v>
      </c>
      <c r="F514" s="147" t="s">
        <v>24</v>
      </c>
      <c r="G514" s="147" t="s">
        <v>29</v>
      </c>
      <c r="H514" s="148">
        <v>45173</v>
      </c>
      <c r="I514" s="149">
        <v>12.5</v>
      </c>
      <c r="J514" s="150">
        <v>45175</v>
      </c>
      <c r="K514" s="151">
        <v>56</v>
      </c>
      <c r="L514" s="151">
        <v>239</v>
      </c>
      <c r="M514" s="152">
        <v>187500000</v>
      </c>
      <c r="N514" s="152">
        <v>46875000</v>
      </c>
      <c r="O514" s="153">
        <v>234375000</v>
      </c>
      <c r="P514" s="154">
        <v>3.6344533333333333E-3</v>
      </c>
      <c r="Q514" s="154">
        <v>0.84315152000000004</v>
      </c>
      <c r="R514" s="154">
        <v>0.14738138666666667</v>
      </c>
      <c r="S514" s="155">
        <v>5.83264E-3</v>
      </c>
      <c r="T514" s="135"/>
    </row>
    <row r="515" spans="2:20" ht="13.5" thickTop="1" thickBot="1" x14ac:dyDescent="0.3">
      <c r="B515" s="146" t="s">
        <v>566</v>
      </c>
      <c r="C515" s="147" t="s">
        <v>179</v>
      </c>
      <c r="D515" s="147" t="s">
        <v>639</v>
      </c>
      <c r="E515" s="147" t="s">
        <v>567</v>
      </c>
      <c r="F515" s="147" t="s">
        <v>24</v>
      </c>
      <c r="G515" s="147" t="s">
        <v>29</v>
      </c>
      <c r="H515" s="148">
        <v>45182</v>
      </c>
      <c r="I515" s="149">
        <v>0.8</v>
      </c>
      <c r="J515" s="150">
        <v>45187</v>
      </c>
      <c r="K515" s="151">
        <v>1700</v>
      </c>
      <c r="L515" s="151">
        <v>2084</v>
      </c>
      <c r="M515" s="152">
        <v>622919426.39999998</v>
      </c>
      <c r="N515" s="152">
        <v>0</v>
      </c>
      <c r="O515" s="153">
        <v>622919426.39999998</v>
      </c>
      <c r="P515" s="154">
        <v>1.6066568445038946E-2</v>
      </c>
      <c r="Q515" s="154">
        <v>0.6998334178136012</v>
      </c>
      <c r="R515" s="154">
        <v>0.15219737382073723</v>
      </c>
      <c r="S515" s="155">
        <v>0.13190263992062265</v>
      </c>
      <c r="T515" s="135"/>
    </row>
    <row r="516" spans="2:20" ht="13.5" thickTop="1" thickBot="1" x14ac:dyDescent="0.3">
      <c r="B516" s="146" t="s">
        <v>531</v>
      </c>
      <c r="C516" s="147" t="s">
        <v>184</v>
      </c>
      <c r="D516" s="147" t="s">
        <v>591</v>
      </c>
      <c r="E516" s="147" t="s">
        <v>568</v>
      </c>
      <c r="F516" s="147" t="s">
        <v>24</v>
      </c>
      <c r="G516" s="147" t="s">
        <v>29</v>
      </c>
      <c r="H516" s="148">
        <v>45195</v>
      </c>
      <c r="I516" s="149">
        <v>4.25</v>
      </c>
      <c r="J516" s="150">
        <v>45197</v>
      </c>
      <c r="K516" s="151">
        <v>0</v>
      </c>
      <c r="L516" s="151">
        <v>92</v>
      </c>
      <c r="M516" s="152">
        <v>0</v>
      </c>
      <c r="N516" s="152">
        <v>214479747.75</v>
      </c>
      <c r="O516" s="153">
        <v>214479747.75</v>
      </c>
      <c r="P516" s="154">
        <v>0</v>
      </c>
      <c r="Q516" s="154">
        <v>0.20620291875553085</v>
      </c>
      <c r="R516" s="154">
        <v>8.0505969356726825E-2</v>
      </c>
      <c r="S516" s="155">
        <v>4.6624445221075658E-2</v>
      </c>
      <c r="T516" s="135"/>
    </row>
    <row r="517" spans="2:20" ht="13.5" thickTop="1" thickBot="1" x14ac:dyDescent="0.3">
      <c r="B517" s="146" t="s">
        <v>471</v>
      </c>
      <c r="C517" s="147" t="s">
        <v>179</v>
      </c>
      <c r="D517" s="147" t="s">
        <v>586</v>
      </c>
      <c r="E517" s="147" t="s">
        <v>568</v>
      </c>
      <c r="F517" s="147" t="s">
        <v>24</v>
      </c>
      <c r="G517" s="147" t="s">
        <v>29</v>
      </c>
      <c r="H517" s="148">
        <v>45230</v>
      </c>
      <c r="I517" s="149">
        <v>13.25</v>
      </c>
      <c r="J517" s="150">
        <v>45233</v>
      </c>
      <c r="K517" s="151">
        <v>443</v>
      </c>
      <c r="L517" s="151">
        <v>590</v>
      </c>
      <c r="M517" s="152">
        <v>716908223.25</v>
      </c>
      <c r="N517" s="152">
        <v>0</v>
      </c>
      <c r="O517" s="153">
        <v>716908223.25</v>
      </c>
      <c r="P517" s="154">
        <v>6.9943820385659104E-4</v>
      </c>
      <c r="Q517" s="154">
        <v>0.19267897935916165</v>
      </c>
      <c r="R517" s="154">
        <v>2.0831038082251487E-2</v>
      </c>
      <c r="S517" s="155">
        <v>0.78139789352737066</v>
      </c>
      <c r="T517" s="135"/>
    </row>
    <row r="518" spans="2:20" ht="13.5" thickTop="1" thickBot="1" x14ac:dyDescent="0.3">
      <c r="B518" s="146" t="s">
        <v>384</v>
      </c>
      <c r="C518" s="147" t="s">
        <v>179</v>
      </c>
      <c r="D518" s="147" t="s">
        <v>668</v>
      </c>
      <c r="E518" s="147" t="s">
        <v>569</v>
      </c>
      <c r="F518" s="147" t="s">
        <v>24</v>
      </c>
      <c r="G518" s="147" t="s">
        <v>29</v>
      </c>
      <c r="H518" s="148">
        <v>45230</v>
      </c>
      <c r="I518" s="149">
        <v>28</v>
      </c>
      <c r="J518" s="150">
        <v>45236</v>
      </c>
      <c r="K518" s="151">
        <v>461</v>
      </c>
      <c r="L518" s="151">
        <v>659</v>
      </c>
      <c r="M518" s="152">
        <v>202454000</v>
      </c>
      <c r="N518" s="152">
        <v>200000024</v>
      </c>
      <c r="O518" s="153">
        <v>402454024</v>
      </c>
      <c r="P518" s="154">
        <v>2.7580889587527145E-3</v>
      </c>
      <c r="Q518" s="154">
        <v>0.68327561311699048</v>
      </c>
      <c r="R518" s="154">
        <v>0.3138984640889067</v>
      </c>
      <c r="S518" s="155">
        <v>6.7833835350097037E-5</v>
      </c>
      <c r="T518" s="135"/>
    </row>
    <row r="519" spans="2:20" ht="13.5" thickTop="1" thickBot="1" x14ac:dyDescent="0.3">
      <c r="B519" s="146" t="s">
        <v>495</v>
      </c>
      <c r="C519" s="147" t="s">
        <v>179</v>
      </c>
      <c r="D519" s="147" t="s">
        <v>656</v>
      </c>
      <c r="E519" s="147" t="s">
        <v>570</v>
      </c>
      <c r="F519" s="147" t="s">
        <v>24</v>
      </c>
      <c r="G519" s="147" t="s">
        <v>29</v>
      </c>
      <c r="H519" s="148">
        <v>45260</v>
      </c>
      <c r="I519" s="149">
        <v>0.84</v>
      </c>
      <c r="J519" s="150">
        <v>45264</v>
      </c>
      <c r="K519" s="151">
        <v>642</v>
      </c>
      <c r="L519" s="151">
        <v>788</v>
      </c>
      <c r="M519" s="152">
        <v>400000000.68000001</v>
      </c>
      <c r="N519" s="152">
        <v>0</v>
      </c>
      <c r="O519" s="153">
        <v>400000000.68000001</v>
      </c>
      <c r="P519" s="154">
        <v>8.1208469861945604E-4</v>
      </c>
      <c r="Q519" s="154">
        <v>3.0870230947520607E-3</v>
      </c>
      <c r="R519" s="154">
        <v>5.0588390913999734E-3</v>
      </c>
      <c r="S519" s="155">
        <v>0.98570771082429687</v>
      </c>
      <c r="T519" s="135"/>
    </row>
    <row r="520" spans="2:20" ht="13.5" thickTop="1" thickBot="1" x14ac:dyDescent="0.3">
      <c r="B520" s="146" t="s">
        <v>525</v>
      </c>
      <c r="C520" s="147" t="s">
        <v>179</v>
      </c>
      <c r="D520" s="147" t="s">
        <v>597</v>
      </c>
      <c r="E520" s="147" t="s">
        <v>569</v>
      </c>
      <c r="F520" s="147" t="s">
        <v>24</v>
      </c>
      <c r="G520" s="147" t="s">
        <v>29</v>
      </c>
      <c r="H520" s="148">
        <v>45274</v>
      </c>
      <c r="I520" s="149">
        <v>1.6</v>
      </c>
      <c r="J520" s="150">
        <v>45278</v>
      </c>
      <c r="K520" s="151">
        <v>237</v>
      </c>
      <c r="L520" s="151">
        <v>360</v>
      </c>
      <c r="M520" s="152">
        <v>400000000</v>
      </c>
      <c r="N520" s="152">
        <v>0</v>
      </c>
      <c r="O520" s="153">
        <v>400000000</v>
      </c>
      <c r="P520" s="154">
        <v>1.8171179999999999E-2</v>
      </c>
      <c r="Q520" s="154">
        <v>0.30932751200000003</v>
      </c>
      <c r="R520" s="154">
        <v>0.47062782400000008</v>
      </c>
      <c r="S520" s="155">
        <v>7.0200880000000007E-3</v>
      </c>
      <c r="T520" s="135"/>
    </row>
    <row r="521" spans="2:20" ht="13.5" thickTop="1" thickBot="1" x14ac:dyDescent="0.3">
      <c r="B521" s="146" t="s">
        <v>416</v>
      </c>
      <c r="C521" s="147" t="s">
        <v>184</v>
      </c>
      <c r="D521" s="147" t="s">
        <v>584</v>
      </c>
      <c r="E521" s="147" t="s">
        <v>571</v>
      </c>
      <c r="F521" s="147" t="s">
        <v>24</v>
      </c>
      <c r="G521" s="147" t="s">
        <v>29</v>
      </c>
      <c r="H521" s="148">
        <v>45320</v>
      </c>
      <c r="I521" s="149">
        <v>9.9600000000000009</v>
      </c>
      <c r="J521" s="150">
        <v>45322</v>
      </c>
      <c r="K521" s="151">
        <v>86</v>
      </c>
      <c r="L521" s="151">
        <v>1675</v>
      </c>
      <c r="M521" s="152">
        <v>2493367705.0800004</v>
      </c>
      <c r="N521" s="152">
        <v>0</v>
      </c>
      <c r="O521" s="153">
        <v>2493367705.0800004</v>
      </c>
      <c r="P521" s="154">
        <v>1.1148122253836661E-4</v>
      </c>
      <c r="Q521" s="154">
        <v>0.39021079502141981</v>
      </c>
      <c r="R521" s="154">
        <v>0.22598613156494743</v>
      </c>
      <c r="S521" s="155">
        <v>0.37368117120539407</v>
      </c>
      <c r="T521" s="135"/>
    </row>
    <row r="522" spans="2:20" ht="13.5" thickTop="1" thickBot="1" x14ac:dyDescent="0.3">
      <c r="B522" s="146" t="s">
        <v>435</v>
      </c>
      <c r="C522" s="147" t="s">
        <v>572</v>
      </c>
      <c r="D522" s="147" t="s">
        <v>585</v>
      </c>
      <c r="E522" s="147" t="s">
        <v>568</v>
      </c>
      <c r="F522" s="147" t="s">
        <v>24</v>
      </c>
      <c r="G522" s="147" t="s">
        <v>29</v>
      </c>
      <c r="H522" s="148">
        <v>45328</v>
      </c>
      <c r="I522" s="149">
        <v>18.5</v>
      </c>
      <c r="J522" s="150">
        <v>45330</v>
      </c>
      <c r="K522" s="151">
        <v>132</v>
      </c>
      <c r="L522" s="151">
        <v>363</v>
      </c>
      <c r="M522" s="152">
        <v>501350000</v>
      </c>
      <c r="N522" s="152">
        <v>0</v>
      </c>
      <c r="O522" s="153">
        <v>501350000</v>
      </c>
      <c r="P522" s="154">
        <v>9.4103690036900361E-3</v>
      </c>
      <c r="Q522" s="154">
        <v>0.57320147601476013</v>
      </c>
      <c r="R522" s="154">
        <v>0.22573583025830257</v>
      </c>
      <c r="S522" s="155">
        <v>0.19165232472324722</v>
      </c>
      <c r="T522" s="135"/>
    </row>
    <row r="523" spans="2:20" ht="13.5" thickTop="1" thickBot="1" x14ac:dyDescent="0.3">
      <c r="B523" s="146" t="s">
        <v>467</v>
      </c>
      <c r="C523" s="147" t="s">
        <v>179</v>
      </c>
      <c r="D523" s="147" t="s">
        <v>602</v>
      </c>
      <c r="E523" s="147" t="s">
        <v>569</v>
      </c>
      <c r="F523" s="147" t="s">
        <v>24</v>
      </c>
      <c r="G523" s="147" t="s">
        <v>29</v>
      </c>
      <c r="H523" s="148">
        <v>45330</v>
      </c>
      <c r="I523" s="149">
        <v>11.44</v>
      </c>
      <c r="J523" s="150">
        <v>45336</v>
      </c>
      <c r="K523" s="151">
        <v>101</v>
      </c>
      <c r="L523" s="151">
        <v>176</v>
      </c>
      <c r="M523" s="152">
        <v>89375000</v>
      </c>
      <c r="N523" s="152">
        <v>0</v>
      </c>
      <c r="O523" s="153">
        <v>89375000</v>
      </c>
      <c r="P523" s="154">
        <v>1.2928000000000001E-5</v>
      </c>
      <c r="Q523" s="154">
        <v>0.93813235200000011</v>
      </c>
      <c r="R523" s="154">
        <v>4.2719488E-2</v>
      </c>
      <c r="S523" s="155">
        <v>4.0396799999999995E-3</v>
      </c>
      <c r="T523" s="135"/>
    </row>
    <row r="524" spans="2:20" ht="13.5" thickTop="1" thickBot="1" x14ac:dyDescent="0.3">
      <c r="B524" s="146" t="s">
        <v>573</v>
      </c>
      <c r="C524" s="147" t="s">
        <v>179</v>
      </c>
      <c r="D524" s="147" t="s">
        <v>625</v>
      </c>
      <c r="E524" s="147" t="s">
        <v>571</v>
      </c>
      <c r="F524" s="147" t="s">
        <v>24</v>
      </c>
      <c r="G524" s="147" t="s">
        <v>29</v>
      </c>
      <c r="H524" s="148">
        <v>45364</v>
      </c>
      <c r="I524" s="149">
        <v>3.2</v>
      </c>
      <c r="J524" s="150">
        <v>45366</v>
      </c>
      <c r="K524" s="151">
        <v>147</v>
      </c>
      <c r="L524" s="151">
        <v>389</v>
      </c>
      <c r="M524" s="152">
        <v>704000000</v>
      </c>
      <c r="N524" s="152">
        <v>0</v>
      </c>
      <c r="O524" s="153">
        <v>704000000</v>
      </c>
      <c r="P524" s="154">
        <v>6.3961545454545451E-2</v>
      </c>
      <c r="Q524" s="154">
        <v>0.45772170909090909</v>
      </c>
      <c r="R524" s="154">
        <v>0.4549614818181818</v>
      </c>
      <c r="S524" s="155">
        <v>2.3355263636363637E-2</v>
      </c>
      <c r="T524" s="135"/>
    </row>
    <row r="525" spans="2:20" ht="13.5" thickTop="1" thickBot="1" x14ac:dyDescent="0.3">
      <c r="B525" s="146" t="s">
        <v>574</v>
      </c>
      <c r="C525" s="147" t="s">
        <v>179</v>
      </c>
      <c r="D525" s="147" t="s">
        <v>584</v>
      </c>
      <c r="E525" s="147" t="s">
        <v>568</v>
      </c>
      <c r="F525" s="147" t="s">
        <v>24</v>
      </c>
      <c r="G525" s="147" t="s">
        <v>29</v>
      </c>
      <c r="H525" s="148">
        <v>45378</v>
      </c>
      <c r="I525" s="149">
        <v>9</v>
      </c>
      <c r="J525" s="150">
        <v>45383</v>
      </c>
      <c r="K525" s="151">
        <v>1</v>
      </c>
      <c r="L525" s="151">
        <v>258</v>
      </c>
      <c r="M525" s="152">
        <v>0</v>
      </c>
      <c r="N525" s="152">
        <v>775386783</v>
      </c>
      <c r="O525" s="153">
        <v>775386783</v>
      </c>
      <c r="P525" s="154">
        <v>3.0190094173942089E-5</v>
      </c>
      <c r="Q525" s="154">
        <v>0.59505323293600687</v>
      </c>
      <c r="R525" s="154">
        <v>0.31721839266893975</v>
      </c>
      <c r="S525" s="155">
        <v>8.3829139759788757E-2</v>
      </c>
      <c r="T525" s="135"/>
    </row>
    <row r="526" spans="2:20" ht="13.5" thickTop="1" thickBot="1" x14ac:dyDescent="0.3">
      <c r="B526" s="146" t="s">
        <v>521</v>
      </c>
      <c r="C526" s="147" t="s">
        <v>179</v>
      </c>
      <c r="D526" s="147" t="s">
        <v>627</v>
      </c>
      <c r="E526" s="147" t="s">
        <v>575</v>
      </c>
      <c r="F526" s="147" t="s">
        <v>24</v>
      </c>
      <c r="G526" s="147" t="s">
        <v>29</v>
      </c>
      <c r="H526" s="148">
        <v>45400</v>
      </c>
      <c r="I526" s="149">
        <v>16.5</v>
      </c>
      <c r="J526" s="150">
        <v>45404</v>
      </c>
      <c r="K526" s="151">
        <v>265</v>
      </c>
      <c r="L526" s="151">
        <v>414</v>
      </c>
      <c r="M526" s="152">
        <v>299999997</v>
      </c>
      <c r="N526" s="152">
        <v>0</v>
      </c>
      <c r="O526" s="153">
        <v>299999997</v>
      </c>
      <c r="P526" s="154">
        <v>1.4569775145697751E-2</v>
      </c>
      <c r="Q526" s="154">
        <v>0.5325268903252689</v>
      </c>
      <c r="R526" s="154">
        <v>5.1685040516850404E-2</v>
      </c>
      <c r="S526" s="155">
        <v>0.40121829401218295</v>
      </c>
      <c r="T526" s="135"/>
    </row>
    <row r="527" spans="2:20" ht="13.5" thickTop="1" thickBot="1" x14ac:dyDescent="0.3">
      <c r="B527" s="146" t="s">
        <v>576</v>
      </c>
      <c r="C527" s="147" t="s">
        <v>189</v>
      </c>
      <c r="D527" s="147" t="s">
        <v>584</v>
      </c>
      <c r="E527" s="147" t="s">
        <v>577</v>
      </c>
      <c r="F527" s="147" t="s">
        <v>24</v>
      </c>
      <c r="G527" s="147" t="s">
        <v>29</v>
      </c>
      <c r="H527" s="148">
        <v>45491</v>
      </c>
      <c r="I527" s="149">
        <v>23.5</v>
      </c>
      <c r="J527" s="150">
        <v>45495</v>
      </c>
      <c r="K527" s="151">
        <v>14</v>
      </c>
      <c r="L527" s="151">
        <v>337</v>
      </c>
      <c r="M527" s="152">
        <v>0</v>
      </c>
      <c r="N527" s="152">
        <v>2185500000</v>
      </c>
      <c r="O527" s="153">
        <v>2185500000</v>
      </c>
      <c r="P527" s="154">
        <v>5.6466666666666666E-4</v>
      </c>
      <c r="Q527" s="154">
        <v>0.58973763440860216</v>
      </c>
      <c r="R527" s="154">
        <v>0.40851505376344088</v>
      </c>
      <c r="S527" s="155">
        <v>0</v>
      </c>
      <c r="T527" s="135"/>
    </row>
    <row r="528" spans="2:20" ht="13.5" thickTop="1" thickBot="1" x14ac:dyDescent="0.3">
      <c r="B528" s="146" t="s">
        <v>196</v>
      </c>
      <c r="C528" s="147" t="s">
        <v>179</v>
      </c>
      <c r="D528" s="147" t="s">
        <v>586</v>
      </c>
      <c r="E528" s="147" t="s">
        <v>568</v>
      </c>
      <c r="F528" s="147" t="s">
        <v>24</v>
      </c>
      <c r="G528" s="147" t="s">
        <v>29</v>
      </c>
      <c r="H528" s="148">
        <v>45491</v>
      </c>
      <c r="I528" s="149">
        <v>67</v>
      </c>
      <c r="J528" s="150">
        <v>45492</v>
      </c>
      <c r="K528" s="151">
        <v>17572</v>
      </c>
      <c r="L528" s="151">
        <v>19543</v>
      </c>
      <c r="M528" s="152">
        <v>0</v>
      </c>
      <c r="N528" s="152">
        <v>14771490000</v>
      </c>
      <c r="O528" s="153">
        <v>14771490000</v>
      </c>
      <c r="P528" s="154">
        <v>9.9813598221980313E-2</v>
      </c>
      <c r="Q528" s="154">
        <v>0.22569861659182655</v>
      </c>
      <c r="R528" s="154">
        <v>0.19636581847870457</v>
      </c>
      <c r="S528" s="155">
        <v>0.47000520705764959</v>
      </c>
      <c r="T528" s="135"/>
    </row>
    <row r="529" spans="2:20" ht="13.5" thickTop="1" thickBot="1" x14ac:dyDescent="0.3">
      <c r="B529" s="146" t="s">
        <v>434</v>
      </c>
      <c r="C529" s="147" t="s">
        <v>179</v>
      </c>
      <c r="D529" s="147" t="s">
        <v>584</v>
      </c>
      <c r="E529" s="147" t="s">
        <v>568</v>
      </c>
      <c r="F529" s="147" t="s">
        <v>24</v>
      </c>
      <c r="G529" s="147" t="s">
        <v>29</v>
      </c>
      <c r="H529" s="148">
        <v>45575</v>
      </c>
      <c r="I529" s="149">
        <v>14</v>
      </c>
      <c r="J529" s="150">
        <v>45579</v>
      </c>
      <c r="K529" s="151">
        <v>65</v>
      </c>
      <c r="L529" s="151">
        <v>254</v>
      </c>
      <c r="M529" s="152">
        <v>3200000006</v>
      </c>
      <c r="N529" s="152">
        <v>0</v>
      </c>
      <c r="O529" s="153">
        <v>3200000006</v>
      </c>
      <c r="P529" s="154">
        <v>9.7562499817070309E-6</v>
      </c>
      <c r="Q529" s="154">
        <v>0.10784016229779969</v>
      </c>
      <c r="R529" s="154">
        <v>6.8098121747316026E-2</v>
      </c>
      <c r="S529" s="155">
        <v>0.8239672859550613</v>
      </c>
      <c r="T529" s="135"/>
    </row>
    <row r="530" spans="2:20" ht="12.75" customHeight="1" thickTop="1" thickBot="1" x14ac:dyDescent="0.3">
      <c r="B530" s="146" t="s">
        <v>669</v>
      </c>
      <c r="C530" s="147" t="s">
        <v>179</v>
      </c>
      <c r="D530" s="147" t="s">
        <v>588</v>
      </c>
      <c r="E530" s="147" t="s">
        <v>670</v>
      </c>
      <c r="F530" s="147" t="s">
        <v>24</v>
      </c>
      <c r="G530" s="147" t="s">
        <v>29</v>
      </c>
      <c r="H530" s="148">
        <v>45735</v>
      </c>
      <c r="I530" s="149">
        <v>14.75</v>
      </c>
      <c r="J530" s="150">
        <v>45737</v>
      </c>
      <c r="K530" s="151">
        <v>5479</v>
      </c>
      <c r="L530" s="151">
        <v>5726</v>
      </c>
      <c r="M530" s="152">
        <v>0</v>
      </c>
      <c r="N530" s="152">
        <v>1215118171.75</v>
      </c>
      <c r="O530" s="153">
        <v>1215118171.75</v>
      </c>
      <c r="P530" s="154">
        <v>7.8354758790973533E-2</v>
      </c>
      <c r="Q530" s="154">
        <v>0.63057635221312791</v>
      </c>
      <c r="R530" s="154">
        <v>0.28348217832501527</v>
      </c>
      <c r="S530" s="155">
        <v>7.5867106708833567E-3</v>
      </c>
      <c r="T530" s="135"/>
    </row>
    <row r="531" spans="2:20" ht="12.75" customHeight="1" thickTop="1" thickBot="1" x14ac:dyDescent="0.3">
      <c r="B531" s="146" t="str">
        <f>[1]Base!A531</f>
        <v>AZUL</v>
      </c>
      <c r="C531" s="147" t="str">
        <f>[1]Base!C531</f>
        <v>N2</v>
      </c>
      <c r="D531" s="147" t="str">
        <f>[1]Base!EQ531</f>
        <v>Linhas Aéreas de Passageiros</v>
      </c>
      <c r="E531" s="147" t="str">
        <f>[1]Base!M531</f>
        <v>UBS BB Corretora de Câmbio, Títulos e Valores Mobiliários S.A</v>
      </c>
      <c r="F531" s="147" t="str">
        <f>[1]Base!F531</f>
        <v>FOLLOW-ON</v>
      </c>
      <c r="G531" s="147" t="s">
        <v>29</v>
      </c>
      <c r="H531" s="148">
        <f>[1]Base!X531</f>
        <v>45761</v>
      </c>
      <c r="I531" s="149">
        <f>[1]Base!W531</f>
        <v>3.58</v>
      </c>
      <c r="J531" s="150">
        <f>[1]Base!J531</f>
        <v>45772</v>
      </c>
      <c r="K531" s="151">
        <f>[1]Base!BL531</f>
        <v>68</v>
      </c>
      <c r="L531" s="151">
        <f>[1]Base!DZ531</f>
        <v>91</v>
      </c>
      <c r="M531" s="152">
        <f>[1]Base!AO531</f>
        <v>1661441659.4200001</v>
      </c>
      <c r="N531" s="152">
        <f>[1]Base!AP531</f>
        <v>0</v>
      </c>
      <c r="O531" s="153">
        <f>[1]Base!AQ531</f>
        <v>1661441659.4200001</v>
      </c>
      <c r="P531" s="154">
        <f>[1]Base!EF531</f>
        <v>1.4611610261701714E-3</v>
      </c>
      <c r="Q531" s="154">
        <f>[1]Base!EH531</f>
        <v>2.7329912574752306E-2</v>
      </c>
      <c r="R531" s="154">
        <f>[1]Base!EJ531</f>
        <v>1.9315225315346208E-5</v>
      </c>
      <c r="S531" s="155">
        <f>[1]Base!EL531</f>
        <v>0.97118961117376212</v>
      </c>
      <c r="T531" s="135"/>
    </row>
    <row r="532" spans="2:20" ht="12.75" customHeight="1" thickTop="1" x14ac:dyDescent="0.25">
      <c r="H532" s="156"/>
      <c r="I532" s="157"/>
      <c r="K532" s="158"/>
      <c r="L532" s="158"/>
      <c r="M532" s="159"/>
      <c r="N532" s="159"/>
      <c r="O532" s="159"/>
      <c r="P532" s="135"/>
      <c r="Q532" s="135"/>
      <c r="R532" s="135"/>
      <c r="S532" s="135"/>
      <c r="T532" s="135"/>
    </row>
    <row r="533" spans="2:20" ht="13" x14ac:dyDescent="0.25">
      <c r="C533" s="160" t="s">
        <v>30</v>
      </c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2:20" ht="13" x14ac:dyDescent="0.25">
      <c r="C534" s="160" t="s">
        <v>31</v>
      </c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2:20" ht="13" x14ac:dyDescent="0.3">
      <c r="C535" s="161" t="s">
        <v>32</v>
      </c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2:20" ht="15" x14ac:dyDescent="0.3">
      <c r="C536" s="162" t="s">
        <v>33</v>
      </c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2:20" x14ac:dyDescent="0.35">
      <c r="C537" s="160" t="s">
        <v>34</v>
      </c>
    </row>
    <row r="538" spans="2:20" ht="12.5" x14ac:dyDescent="0.25"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2:20" x14ac:dyDescent="0.35">
      <c r="C539" s="1"/>
    </row>
    <row r="540" spans="2:20" x14ac:dyDescent="0.35">
      <c r="C540" s="1"/>
    </row>
  </sheetData>
  <autoFilter ref="A3:X471" xr:uid="{00000000-0001-0000-0200-000000000000}"/>
  <mergeCells count="5">
    <mergeCell ref="B2:D2"/>
    <mergeCell ref="F2:J2"/>
    <mergeCell ref="K2:O2"/>
    <mergeCell ref="P2:S2"/>
    <mergeCell ref="U2:X2"/>
  </mergeCells>
  <dataValidations count="5">
    <dataValidation allowBlank="1" showInputMessage="1" showErrorMessage="1" prompt="Os coordenadores indicados constaram nos documentos oficiais da oferta à época da oferta" sqref="E3" xr:uid="{26AB5011-53D9-43A5-BE80-0CEEAA533331}"/>
    <dataValidation allowBlank="1" showInputMessage="1" showErrorMessage="1" promptTitle="Estrangeiros" prompt="Investidores Estrangeiros e Oferta Internacional  _x000a_" sqref="R3" xr:uid="{445124E4-0087-47A6-B67E-F66C3356DB20}"/>
    <dataValidation allowBlank="1" showInputMessage="1" showErrorMessage="1" promptTitle="Institucional" prompt="Companhias Seguradoras, Entidades de Previdência Privada, Fundos de Investimento e Demais Instituições Financeiras " sqref="Q3" xr:uid="{3BE1098D-3F66-4E66-94FE-A8B98E615862}"/>
    <dataValidation allowBlank="1" showInputMessage="1" showErrorMessage="1" promptTitle="Varejo" prompt="Pessoas Físicas e Clubes de Investimento " sqref="P3" xr:uid="{9069703A-2FBB-45FC-AC56-C96D3CEB5E9D}"/>
    <dataValidation allowBlank="1" showInputMessage="1" showErrorMessage="1" promptTitle="Outros" prompt="Acionista controlador, coordenadores da oferta e líder, demais PJs, demais PJs ligadas à Comp., empresas e órgãos públicos, inst. financeiras ligadas à Comp., inst. intermediárias, inst. subcontratadas, joint bookrunners" sqref="S3" xr:uid="{C8564C69-E794-4AB3-8B14-C1F9B1310EA7}"/>
  </dataValidations>
  <pageMargins left="0.78740157480314965" right="0.78740157480314965" top="0.98425196850393704" bottom="0.98425196850393704" header="0.51181102362204722" footer="0.51181102362204722"/>
  <pageSetup scale="50" orientation="portrait" r:id="rId1"/>
  <headerFooter alignWithMargins="0">
    <oddFooter>&amp;C_x000D_&amp;1#&amp;"Calibri"&amp;10&amp;K000000 INFORMAÇÃO INTERNA – INTERNAL INFORMATION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0BA99-E04B-47FD-B6C6-BB2C52C24075}">
  <dimension ref="A1:AA549"/>
  <sheetViews>
    <sheetView showGridLines="0" tabSelected="1" zoomScaleNormal="100" workbookViewId="0">
      <pane xSplit="2" ySplit="3" topLeftCell="C512" activePane="bottomRight" state="frozen"/>
      <selection activeCell="J313" sqref="J313"/>
      <selection pane="topRight" activeCell="J313" sqref="J313"/>
      <selection pane="bottomLeft" activeCell="J313" sqref="J313"/>
      <selection pane="bottomRight" activeCell="E535" sqref="E535"/>
    </sheetView>
  </sheetViews>
  <sheetFormatPr defaultColWidth="9.1796875" defaultRowHeight="14.5" x14ac:dyDescent="0.35"/>
  <cols>
    <col min="1" max="1" width="3.7265625" style="1" customWidth="1"/>
    <col min="2" max="2" width="22.7265625" style="1" customWidth="1"/>
    <col min="3" max="3" width="21.81640625" style="2" customWidth="1"/>
    <col min="4" max="4" width="48.453125" style="2" customWidth="1"/>
    <col min="5" max="5" width="75.81640625" style="2" bestFit="1" customWidth="1"/>
    <col min="6" max="6" width="21.26953125" style="2" bestFit="1" customWidth="1"/>
    <col min="7" max="7" width="31.81640625" style="2" bestFit="1" customWidth="1"/>
    <col min="8" max="9" width="19.7265625" style="2" customWidth="1"/>
    <col min="10" max="10" width="16" style="3" customWidth="1"/>
    <col min="11" max="11" width="16.1796875" style="3" customWidth="1"/>
    <col min="12" max="12" width="16" style="4" customWidth="1"/>
    <col min="13" max="13" width="16.81640625" style="4" bestFit="1" customWidth="1"/>
    <col min="14" max="14" width="17.453125" style="4" customWidth="1"/>
    <col min="15" max="16" width="18.453125" style="4" customWidth="1"/>
    <col min="17" max="17" width="15.7265625" style="5" customWidth="1"/>
    <col min="18" max="18" width="18.453125" style="5" customWidth="1"/>
    <col min="19" max="19" width="19" style="5" customWidth="1"/>
    <col min="20" max="20" width="16.453125" style="5" customWidth="1"/>
    <col min="21" max="21" width="16.453125" style="5" hidden="1" customWidth="1"/>
    <col min="22" max="22" width="0" style="1" hidden="1" customWidth="1"/>
    <col min="23" max="25" width="18.7265625" style="1" hidden="1" customWidth="1"/>
    <col min="26" max="26" width="9.1796875" style="1"/>
    <col min="27" max="27" width="15" style="1" bestFit="1" customWidth="1"/>
    <col min="28" max="16384" width="9.1796875" style="1"/>
  </cols>
  <sheetData>
    <row r="1" spans="2:27" ht="15" thickBot="1" x14ac:dyDescent="0.4"/>
    <row r="2" spans="2:27" ht="15" thickTop="1" x14ac:dyDescent="0.35">
      <c r="B2" s="286" t="s">
        <v>35</v>
      </c>
      <c r="C2" s="287"/>
      <c r="D2" s="288"/>
      <c r="E2" s="7"/>
      <c r="F2" s="289" t="s">
        <v>36</v>
      </c>
      <c r="G2" s="289"/>
      <c r="H2" s="289"/>
      <c r="I2" s="289"/>
      <c r="J2" s="289"/>
      <c r="K2" s="290" t="s">
        <v>37</v>
      </c>
      <c r="L2" s="291"/>
      <c r="M2" s="291"/>
      <c r="N2" s="291"/>
      <c r="O2" s="291"/>
      <c r="P2" s="292"/>
      <c r="Q2" s="290" t="s">
        <v>38</v>
      </c>
      <c r="R2" s="291"/>
      <c r="S2" s="291"/>
      <c r="T2" s="296"/>
      <c r="V2" s="295" t="s">
        <v>39</v>
      </c>
      <c r="W2" s="295"/>
      <c r="X2" s="295"/>
      <c r="Y2" s="295"/>
    </row>
    <row r="3" spans="2:27" s="17" customFormat="1" ht="43.5" customHeight="1" x14ac:dyDescent="0.35">
      <c r="B3" s="8" t="s">
        <v>40</v>
      </c>
      <c r="C3" s="9" t="s">
        <v>41</v>
      </c>
      <c r="D3" s="9" t="s">
        <v>42</v>
      </c>
      <c r="E3" s="9" t="s">
        <v>43</v>
      </c>
      <c r="F3" s="9" t="s">
        <v>44</v>
      </c>
      <c r="G3" s="9" t="s">
        <v>10</v>
      </c>
      <c r="H3" s="9" t="s">
        <v>45</v>
      </c>
      <c r="I3" s="9" t="s">
        <v>46</v>
      </c>
      <c r="J3" s="10" t="s">
        <v>47</v>
      </c>
      <c r="K3" s="10" t="s">
        <v>48</v>
      </c>
      <c r="L3" s="11" t="s">
        <v>49</v>
      </c>
      <c r="M3" s="11" t="s">
        <v>50</v>
      </c>
      <c r="N3" s="11" t="s">
        <v>51</v>
      </c>
      <c r="O3" s="12" t="s">
        <v>52</v>
      </c>
      <c r="P3" s="12" t="s">
        <v>53</v>
      </c>
      <c r="Q3" s="12" t="s">
        <v>54</v>
      </c>
      <c r="R3" s="14" t="s">
        <v>55</v>
      </c>
      <c r="S3" s="12" t="s">
        <v>56</v>
      </c>
      <c r="T3" s="15" t="s">
        <v>57</v>
      </c>
      <c r="U3" s="5"/>
      <c r="V3" s="16" t="s">
        <v>58</v>
      </c>
      <c r="W3" s="16" t="s">
        <v>23</v>
      </c>
      <c r="X3" s="16" t="s">
        <v>24</v>
      </c>
      <c r="Y3" s="16" t="s">
        <v>25</v>
      </c>
    </row>
    <row r="4" spans="2:27" ht="13" x14ac:dyDescent="0.3">
      <c r="B4" s="40" t="s">
        <v>178</v>
      </c>
      <c r="C4" s="41" t="s">
        <v>179</v>
      </c>
      <c r="D4" s="41" t="s">
        <v>59</v>
      </c>
      <c r="E4" s="41" t="s">
        <v>180</v>
      </c>
      <c r="F4" s="41" t="s">
        <v>24</v>
      </c>
      <c r="G4" s="41" t="s">
        <v>181</v>
      </c>
      <c r="H4" s="20">
        <v>38103</v>
      </c>
      <c r="I4" s="21">
        <v>23.5</v>
      </c>
      <c r="J4" s="44">
        <v>38104</v>
      </c>
      <c r="K4" s="23">
        <v>1010</v>
      </c>
      <c r="L4" s="45">
        <v>1514</v>
      </c>
      <c r="M4" s="46">
        <v>375000004.5</v>
      </c>
      <c r="N4" s="46">
        <v>0</v>
      </c>
      <c r="O4" s="46">
        <v>375000004.5</v>
      </c>
      <c r="P4" s="46">
        <v>120003841.56293002</v>
      </c>
      <c r="Q4" s="163">
        <v>6.8671824509271437E-2</v>
      </c>
      <c r="R4" s="163">
        <v>0.17572134189134389</v>
      </c>
      <c r="S4" s="163">
        <v>0.74824324968774769</v>
      </c>
      <c r="T4" s="164">
        <v>7.3635839116369933E-3</v>
      </c>
      <c r="U4" s="6"/>
      <c r="V4" s="28">
        <v>2004</v>
      </c>
      <c r="W4" s="24">
        <f>SUMIFS($O$4:$O$236,$F$4:$F$236,"IPO",$J$4:$J$236,"&gt;=01/01/2004",$J$4:$J$236,"&lt;=31/12/2004")</f>
        <v>4487065024.3099995</v>
      </c>
      <c r="X4" s="24">
        <f>SUMIFS($O$4:$O$236,$F$4:$F$236,"FOLLOW-ON",$J$4:$J$236,"&gt;=01/01/2004",$J$4:$J$236,"&lt;=31/12/2004")</f>
        <v>4317579321.8213902</v>
      </c>
      <c r="Y4" s="29">
        <f>SUMIFS($O$4:$O$236,$J$4:$J$236,"&gt;=01/01/2004",$J$4:$J$236,"&lt;=31/12/2004")</f>
        <v>8804644346.1313896</v>
      </c>
    </row>
    <row r="5" spans="2:27" ht="13" x14ac:dyDescent="0.3">
      <c r="B5" s="40" t="s">
        <v>182</v>
      </c>
      <c r="C5" s="41" t="s">
        <v>179</v>
      </c>
      <c r="D5" s="19" t="s">
        <v>60</v>
      </c>
      <c r="E5" s="19" t="s">
        <v>180</v>
      </c>
      <c r="F5" s="19" t="s">
        <v>23</v>
      </c>
      <c r="G5" s="19" t="s">
        <v>181</v>
      </c>
      <c r="H5" s="20">
        <v>38131</v>
      </c>
      <c r="I5" s="21">
        <v>36.5</v>
      </c>
      <c r="J5" s="22">
        <v>38133</v>
      </c>
      <c r="K5" s="23">
        <v>4376</v>
      </c>
      <c r="L5" s="23">
        <v>5460</v>
      </c>
      <c r="M5" s="24">
        <v>0</v>
      </c>
      <c r="N5" s="24">
        <v>768120636.5</v>
      </c>
      <c r="O5" s="24">
        <v>768120636.5</v>
      </c>
      <c r="P5" s="24">
        <v>243230093.88853705</v>
      </c>
      <c r="Q5" s="163">
        <v>0.14086611445961328</v>
      </c>
      <c r="R5" s="163">
        <v>0.15132485833167691</v>
      </c>
      <c r="S5" s="163">
        <v>0.67230899088075735</v>
      </c>
      <c r="T5" s="164">
        <v>3.5500036327952504E-2</v>
      </c>
      <c r="U5" s="6"/>
      <c r="V5" s="28">
        <v>2005</v>
      </c>
      <c r="W5" s="24">
        <f>SUMIFS($O$4:$O$236,$F$4:$F$236,"IPO",$J$4:$J$236,"&gt;=01/01/2005",$J$4:$J$236,"&lt;=31/12/2005")</f>
        <v>5447335659.5</v>
      </c>
      <c r="X5" s="24">
        <f>SUMIFS($O$4:$O$236,$F$4:$F$236,"FOLLOW-ON",$J$4:$J$236,"&gt;=01/01/2005",$J$4:$J$236,"&lt;=31/12/2005")</f>
        <v>8488868795.0285006</v>
      </c>
      <c r="Y5" s="29">
        <f>SUMIFS($O$4:$O$236,$J$4:$J$236,"&gt;=01/01/2005",$J$4:$J$236,"&lt;=31/12/2005")</f>
        <v>13936204454.5285</v>
      </c>
    </row>
    <row r="6" spans="2:27" ht="13" x14ac:dyDescent="0.3">
      <c r="B6" s="40" t="s">
        <v>183</v>
      </c>
      <c r="C6" s="41" t="s">
        <v>184</v>
      </c>
      <c r="D6" s="19" t="s">
        <v>61</v>
      </c>
      <c r="E6" s="19" t="s">
        <v>185</v>
      </c>
      <c r="F6" s="19" t="s">
        <v>23</v>
      </c>
      <c r="G6" s="19" t="s">
        <v>181</v>
      </c>
      <c r="H6" s="20">
        <v>38161</v>
      </c>
      <c r="I6" s="21">
        <v>26.57</v>
      </c>
      <c r="J6" s="22">
        <v>38162</v>
      </c>
      <c r="K6" s="23">
        <v>11274</v>
      </c>
      <c r="L6" s="23">
        <v>12380</v>
      </c>
      <c r="M6" s="24">
        <v>498187500</v>
      </c>
      <c r="N6" s="24">
        <v>379951000</v>
      </c>
      <c r="O6" s="24">
        <v>878138500</v>
      </c>
      <c r="P6" s="24">
        <v>282996616.17789233</v>
      </c>
      <c r="Q6" s="163">
        <v>0.10416096822995462</v>
      </c>
      <c r="R6" s="163">
        <v>0.13028732223903178</v>
      </c>
      <c r="S6" s="163">
        <v>0.75367177004538577</v>
      </c>
      <c r="T6" s="164">
        <v>1.1879939485627837E-2</v>
      </c>
      <c r="U6" s="6"/>
      <c r="V6" s="28">
        <v>2006</v>
      </c>
      <c r="W6" s="24">
        <f>SUMIFS($O$4:$O$236,$F$4:$F$236,"IPO",$J$4:$J$236,"&gt;=01/01/2006",$J$4:$J$236,"&lt;=31/12/2006")</f>
        <v>15373613634.299999</v>
      </c>
      <c r="X6" s="24">
        <f>SUMIFS($O$4:$O$236,$F$4:$F$236,"FOLLOW-ON",$J$4:$J$236,"&gt;=01/01/2006",$J$4:$J$236,"&lt;=31/12/2006")</f>
        <v>15062683257.9795</v>
      </c>
      <c r="Y6" s="29">
        <f>SUMIFS($O$4:$O$236,$J$4:$J$236,"&gt;=01/01/2006",$J$4:$J$236,"&lt;=31/12/2006")</f>
        <v>30436296892.279499</v>
      </c>
    </row>
    <row r="7" spans="2:27" ht="13" x14ac:dyDescent="0.3">
      <c r="B7" s="40" t="s">
        <v>186</v>
      </c>
      <c r="C7" s="41" t="s">
        <v>184</v>
      </c>
      <c r="D7" s="19" t="s">
        <v>62</v>
      </c>
      <c r="E7" s="19" t="s">
        <v>187</v>
      </c>
      <c r="F7" s="19" t="s">
        <v>23</v>
      </c>
      <c r="G7" s="19" t="s">
        <v>181</v>
      </c>
      <c r="H7" s="20">
        <v>38161</v>
      </c>
      <c r="I7" s="21">
        <v>46.5</v>
      </c>
      <c r="J7" s="22">
        <v>38163</v>
      </c>
      <c r="K7" s="23">
        <v>3275</v>
      </c>
      <c r="L7" s="23">
        <v>4198</v>
      </c>
      <c r="M7" s="24">
        <v>267375000</v>
      </c>
      <c r="N7" s="24">
        <v>320850000</v>
      </c>
      <c r="O7" s="24">
        <v>588225000</v>
      </c>
      <c r="P7" s="24">
        <v>189164201.18343195</v>
      </c>
      <c r="Q7" s="163">
        <v>8.1711383399209483E-2</v>
      </c>
      <c r="R7" s="163">
        <v>0.19502276679841898</v>
      </c>
      <c r="S7" s="163">
        <v>0.70870671936758889</v>
      </c>
      <c r="T7" s="164">
        <v>1.4559130434782609E-2</v>
      </c>
      <c r="U7" s="6"/>
      <c r="V7" s="28">
        <v>2007</v>
      </c>
      <c r="W7" s="24">
        <f>SUMIFS($O$4:$O$236,$F$4:$F$236,"IPO",$J$4:$J$236,"&gt;=01/01/2007",$J$4:$J$236,"&lt;=31/12/2007")</f>
        <v>55648186084.869995</v>
      </c>
      <c r="X7" s="24">
        <f>SUMIFS($O$4:$O$236,$F$4:$F$236,"FOLLOW-ON",$J$4:$J$236,"&gt;=01/01/2007",$J$4:$J$236,"&lt;=31/12/2007")</f>
        <v>14464732432.85</v>
      </c>
      <c r="Y7" s="29">
        <f>SUMIFS($O$4:$O$236,$J$4:$J$236,"&gt;=01/01/2007",$J$4:$J$236,"&lt;=31/12/2007")</f>
        <v>70112918517.720001</v>
      </c>
    </row>
    <row r="8" spans="2:27" ht="13" x14ac:dyDescent="0.3">
      <c r="B8" s="40" t="s">
        <v>188</v>
      </c>
      <c r="C8" s="41" t="s">
        <v>189</v>
      </c>
      <c r="D8" s="19" t="s">
        <v>63</v>
      </c>
      <c r="E8" s="19" t="s">
        <v>190</v>
      </c>
      <c r="F8" s="19" t="s">
        <v>24</v>
      </c>
      <c r="G8" s="19" t="s">
        <v>181</v>
      </c>
      <c r="H8" s="20">
        <v>38233</v>
      </c>
      <c r="I8" s="21">
        <v>7.2</v>
      </c>
      <c r="J8" s="22">
        <v>38236</v>
      </c>
      <c r="K8" s="23">
        <v>5130</v>
      </c>
      <c r="L8" s="23">
        <v>5708</v>
      </c>
      <c r="M8" s="24">
        <v>0</v>
      </c>
      <c r="N8" s="24">
        <v>319384800</v>
      </c>
      <c r="O8" s="24">
        <v>319384800</v>
      </c>
      <c r="P8" s="24">
        <v>109596046.94255713</v>
      </c>
      <c r="Q8" s="163">
        <v>0.30075378164521294</v>
      </c>
      <c r="R8" s="163">
        <v>0.23810974097702833</v>
      </c>
      <c r="S8" s="163">
        <v>0.40659325052413264</v>
      </c>
      <c r="T8" s="164">
        <v>5.4543226853626101E-2</v>
      </c>
      <c r="U8" s="6"/>
      <c r="V8" s="28">
        <v>2008</v>
      </c>
      <c r="W8" s="24">
        <f>SUMIFS($O$4:$O$236,$F$4:$F$236,"IPO",$J$4:$J$236,"&gt;=01/01/2008",$J$4:$J$236,"&lt;=31/12/2008")</f>
        <v>7494941362</v>
      </c>
      <c r="X8" s="24">
        <f>SUMIFS($O$4:$O$236,$F$4:$F$236,"FOLLOW-ON",$J$4:$J$236,"&gt;=01/01/2008",$J$4:$J$236,"&lt;=31/12/2008")</f>
        <v>26760549835.43</v>
      </c>
      <c r="Y8" s="29">
        <f>SUMIFS($O$4:$O$236,$J$4:$J$236,"&gt;=01/01/2008",$J$4:$J$236,"&lt;=31/12/2008")</f>
        <v>34255491197.43</v>
      </c>
    </row>
    <row r="9" spans="2:27" ht="13" x14ac:dyDescent="0.3">
      <c r="B9" s="40" t="s">
        <v>191</v>
      </c>
      <c r="C9" s="41" t="s">
        <v>189</v>
      </c>
      <c r="D9" s="19" t="s">
        <v>64</v>
      </c>
      <c r="E9" s="19" t="s">
        <v>192</v>
      </c>
      <c r="F9" s="19" t="s">
        <v>24</v>
      </c>
      <c r="G9" s="19" t="s">
        <v>181</v>
      </c>
      <c r="H9" s="20">
        <v>38252</v>
      </c>
      <c r="I9" s="21">
        <v>0.09</v>
      </c>
      <c r="J9" s="22">
        <v>38254</v>
      </c>
      <c r="K9" s="23">
        <v>2287</v>
      </c>
      <c r="L9" s="23">
        <v>2737</v>
      </c>
      <c r="M9" s="24">
        <v>1210950000</v>
      </c>
      <c r="N9" s="24">
        <v>0</v>
      </c>
      <c r="O9" s="24">
        <v>1210950000</v>
      </c>
      <c r="P9" s="24">
        <v>421419871.23716724</v>
      </c>
      <c r="Q9" s="163">
        <v>5.2678683013820775E-2</v>
      </c>
      <c r="R9" s="163">
        <v>0.20504084499925693</v>
      </c>
      <c r="S9" s="163">
        <v>0.73642744776341207</v>
      </c>
      <c r="T9" s="164">
        <v>5.8530242235101801E-3</v>
      </c>
      <c r="U9" s="6"/>
      <c r="V9" s="28">
        <v>2009</v>
      </c>
      <c r="W9" s="24">
        <f>SUMIFS($O$4:$O$236,$F$4:$F$236,"IPO",$J$4:$J$236,"&gt;=01/01/2009",$J$4:$J$236,"&lt;=31/12/2009")</f>
        <v>23831458391</v>
      </c>
      <c r="X9" s="24">
        <f>SUMIFS($O$4:$O$236,$F$4:$F$236,"FOLLOW-ON",$J$4:$J$236,"&gt;=01/01/2009",$J$4:$J$236,"&lt;=31/12/2009")</f>
        <v>22151816326.5</v>
      </c>
      <c r="Y9" s="29">
        <f>SUMIFS($O$4:$O$236,$J$4:$J$236,"&gt;=01/01/2009",$J$4:$J$236,"&lt;=31/12/2009")</f>
        <v>45983274717.5</v>
      </c>
    </row>
    <row r="10" spans="2:27" ht="13" x14ac:dyDescent="0.3">
      <c r="B10" s="40" t="s">
        <v>193</v>
      </c>
      <c r="C10" s="41" t="s">
        <v>179</v>
      </c>
      <c r="D10" s="19" t="s">
        <v>65</v>
      </c>
      <c r="E10" s="19" t="s">
        <v>194</v>
      </c>
      <c r="F10" s="19" t="s">
        <v>23</v>
      </c>
      <c r="G10" s="19" t="s">
        <v>181</v>
      </c>
      <c r="H10" s="20">
        <v>38258</v>
      </c>
      <c r="I10" s="21">
        <v>17.22</v>
      </c>
      <c r="J10" s="22">
        <v>38259</v>
      </c>
      <c r="K10" s="23">
        <v>2661</v>
      </c>
      <c r="L10" s="23">
        <v>3271</v>
      </c>
      <c r="M10" s="24">
        <v>684649515.05999994</v>
      </c>
      <c r="N10" s="24">
        <v>136312659</v>
      </c>
      <c r="O10" s="24">
        <v>820962174.05999994</v>
      </c>
      <c r="P10" s="24">
        <v>287029639.20704848</v>
      </c>
      <c r="Q10" s="163">
        <v>7.2085297337554172E-2</v>
      </c>
      <c r="R10" s="163">
        <v>0.22446591051652037</v>
      </c>
      <c r="S10" s="163">
        <v>0.69388879768091083</v>
      </c>
      <c r="T10" s="164">
        <v>9.5599944650146575E-3</v>
      </c>
      <c r="U10" s="6"/>
      <c r="V10" s="28">
        <v>2010</v>
      </c>
      <c r="W10" s="24">
        <f>SUMIFS($O$4:$O$236,$F$4:$F$236,"IPO",$J$4:$J$236,"&gt;=01/01/2010",$J$4:$J$236,"&lt;=31/12/2010")</f>
        <v>11193373737.5</v>
      </c>
      <c r="X10" s="24">
        <f>SUMIFS($O$4:$O$236,$F$4:$F$236,"FOLLOW-ON",$J$4:$J$236,"&gt;=01/01/2010",$J$4:$J$236,"&lt;=31/12/2010")</f>
        <v>138047959151.79999</v>
      </c>
      <c r="Y10" s="29">
        <f>SUMIFS($O$4:$O$236,$J$4:$J$236,"&gt;=01/01/2010",$J$4:$J$236,"&lt;=31/12/2010")</f>
        <v>149241332889.29999</v>
      </c>
    </row>
    <row r="11" spans="2:27" ht="13" x14ac:dyDescent="0.3">
      <c r="B11" s="40" t="s">
        <v>195</v>
      </c>
      <c r="C11" s="41" t="s">
        <v>179</v>
      </c>
      <c r="D11" s="19" t="s">
        <v>66</v>
      </c>
      <c r="E11" s="19" t="s">
        <v>187</v>
      </c>
      <c r="F11" s="19" t="s">
        <v>23</v>
      </c>
      <c r="G11" s="19" t="s">
        <v>181</v>
      </c>
      <c r="H11" s="20">
        <v>38287</v>
      </c>
      <c r="I11" s="21">
        <v>31</v>
      </c>
      <c r="J11" s="22">
        <v>38289</v>
      </c>
      <c r="K11" s="23">
        <v>7745</v>
      </c>
      <c r="L11" s="23">
        <v>8998</v>
      </c>
      <c r="M11" s="24">
        <v>0</v>
      </c>
      <c r="N11" s="24">
        <v>616900000</v>
      </c>
      <c r="O11" s="24">
        <v>616900000</v>
      </c>
      <c r="P11" s="24">
        <v>215963591.80815682</v>
      </c>
      <c r="Q11" s="163">
        <v>0.16245688442211056</v>
      </c>
      <c r="R11" s="163">
        <v>0.18904427135678392</v>
      </c>
      <c r="S11" s="163">
        <v>0.63814226130653262</v>
      </c>
      <c r="T11" s="164">
        <v>1.0356582914572865E-2</v>
      </c>
      <c r="U11" s="6"/>
      <c r="V11" s="28">
        <v>2011</v>
      </c>
      <c r="W11" s="24">
        <f>SUMIFS($O$4:$O$236,$F$4:$F$236,"IPO",$J$4:$J$236,"&gt;=01/01/2011",$J$4:$J$236,"&lt;=31/12/2011")</f>
        <v>7175095457</v>
      </c>
      <c r="X11" s="24">
        <f>SUMIFS($O$4:$O$236,$F$4:$F$236,"FOLLOW-ON",$J$4:$J$236,"&gt;=01/01/2011",$J$4:$J$236,"&lt;=31/12/2011")</f>
        <v>10814789923.299999</v>
      </c>
      <c r="Y11" s="29">
        <f>SUMIFS($O$4:$O$236,$J$4:$J$236,"&gt;=01/01/2011",$J$4:$J$236,"&lt;=31/12/2011")</f>
        <v>17989885380.299999</v>
      </c>
      <c r="AA11" s="159"/>
    </row>
    <row r="12" spans="2:27" ht="13" x14ac:dyDescent="0.3">
      <c r="B12" s="40" t="s">
        <v>196</v>
      </c>
      <c r="C12" s="41" t="s">
        <v>179</v>
      </c>
      <c r="D12" s="19" t="s">
        <v>67</v>
      </c>
      <c r="E12" s="19" t="s">
        <v>192</v>
      </c>
      <c r="F12" s="19" t="s">
        <v>24</v>
      </c>
      <c r="G12" s="19" t="s">
        <v>181</v>
      </c>
      <c r="H12" s="20">
        <v>38288</v>
      </c>
      <c r="I12" s="21">
        <v>0.11347</v>
      </c>
      <c r="J12" s="22">
        <v>38289</v>
      </c>
      <c r="K12" s="23">
        <v>89</v>
      </c>
      <c r="L12" s="23">
        <v>361</v>
      </c>
      <c r="M12" s="24">
        <v>0</v>
      </c>
      <c r="N12" s="24">
        <v>687986984.99139011</v>
      </c>
      <c r="O12" s="24">
        <v>687986984.99139011</v>
      </c>
      <c r="P12" s="24">
        <v>251071814.09801841</v>
      </c>
      <c r="Q12" s="163">
        <v>1.1300088586105003E-2</v>
      </c>
      <c r="R12" s="163">
        <v>0.17209472464070194</v>
      </c>
      <c r="S12" s="163">
        <v>0.81335375308152524</v>
      </c>
      <c r="T12" s="164">
        <v>3.251433691667866E-3</v>
      </c>
      <c r="U12" s="6"/>
      <c r="V12" s="28">
        <v>2012</v>
      </c>
      <c r="W12" s="24">
        <f>SUMIFS($O$4:$O$1532,$F$4:$F$1532,"IPO",$J$4:$J$1532,"&gt;=01/01/2012",$J$4:$J$1532,"&lt;=31/12/2012")</f>
        <v>3932950736</v>
      </c>
      <c r="X12" s="24">
        <f>SUMIFS($O$4:$O$1532,$F$4:$F$1532,"FOLLOW-ON",$J$4:$J$1532,"&gt;=01/01/2012",$J$4:$J$1532,"&lt;=31/12/2012")</f>
        <v>9307533492</v>
      </c>
      <c r="Y12" s="29">
        <f>SUMIFS($O$4:$O$1532,$J$4:$J$1532,"&gt;=01/01/2012",$J$4:$J$1532,"&lt;=31/12/2012")</f>
        <v>13240484228</v>
      </c>
    </row>
    <row r="13" spans="2:27" ht="13" x14ac:dyDescent="0.3">
      <c r="B13" s="40" t="s">
        <v>197</v>
      </c>
      <c r="C13" s="41" t="s">
        <v>179</v>
      </c>
      <c r="D13" s="19" t="s">
        <v>68</v>
      </c>
      <c r="E13" s="19" t="s">
        <v>180</v>
      </c>
      <c r="F13" s="19" t="s">
        <v>23</v>
      </c>
      <c r="G13" s="19" t="s">
        <v>181</v>
      </c>
      <c r="H13" s="20">
        <v>38308</v>
      </c>
      <c r="I13" s="21">
        <v>20</v>
      </c>
      <c r="J13" s="22">
        <v>38310</v>
      </c>
      <c r="K13" s="23">
        <v>2815</v>
      </c>
      <c r="L13" s="23">
        <v>3482</v>
      </c>
      <c r="M13" s="24">
        <v>126136300</v>
      </c>
      <c r="N13" s="24">
        <v>311247720</v>
      </c>
      <c r="O13" s="24">
        <v>437384020</v>
      </c>
      <c r="P13" s="24">
        <v>158260310.45337772</v>
      </c>
      <c r="Q13" s="163">
        <v>8.7210273480041636E-2</v>
      </c>
      <c r="R13" s="163">
        <v>0.22275427437883991</v>
      </c>
      <c r="S13" s="163">
        <v>0.68241784416357965</v>
      </c>
      <c r="T13" s="164">
        <v>7.6176079775388227E-3</v>
      </c>
      <c r="U13" s="6"/>
      <c r="V13" s="28">
        <v>2013</v>
      </c>
      <c r="W13" s="24">
        <f>SUMIFS($O$4:$O$1532,$F$4:$F$1532,"IPO",$J$4:$J$1532,"&gt;=01/01/2013",$J$4:$J$1532,"&lt;=31/12/2013")</f>
        <v>17293349990.309998</v>
      </c>
      <c r="X13" s="24">
        <f>SUMIFS($O$4:$O$1532,$F$4:$F$1532,"FOLLOW-ON",$J$4:$J$1532,"&gt;=01/01/2013",$J$4:$J$1532,"&lt;=31/12/2013")</f>
        <v>6066116253</v>
      </c>
      <c r="Y13" s="29">
        <f>SUMIFS($O$4:$O$1532,$J$4:$J$1532,"&gt;=01/01/2013",$J$4:$J$1532,"&lt;=31/12/2013")</f>
        <v>23359466243.310001</v>
      </c>
    </row>
    <row r="14" spans="2:27" ht="13" x14ac:dyDescent="0.3">
      <c r="B14" s="40" t="s">
        <v>198</v>
      </c>
      <c r="C14" s="41" t="s">
        <v>179</v>
      </c>
      <c r="D14" s="19" t="s">
        <v>69</v>
      </c>
      <c r="E14" s="19" t="s">
        <v>187</v>
      </c>
      <c r="F14" s="19" t="s">
        <v>23</v>
      </c>
      <c r="G14" s="19" t="s">
        <v>181</v>
      </c>
      <c r="H14" s="20">
        <v>38309</v>
      </c>
      <c r="I14" s="21">
        <v>18.75</v>
      </c>
      <c r="J14" s="22">
        <v>38313</v>
      </c>
      <c r="K14" s="23">
        <v>5757</v>
      </c>
      <c r="L14" s="23">
        <v>6499</v>
      </c>
      <c r="M14" s="24">
        <v>129022800</v>
      </c>
      <c r="N14" s="24">
        <v>248311893.75</v>
      </c>
      <c r="O14" s="24">
        <v>377334693.75</v>
      </c>
      <c r="P14" s="24">
        <v>136330187.78452203</v>
      </c>
      <c r="Q14" s="163">
        <v>7.9173726256386676E-2</v>
      </c>
      <c r="R14" s="163">
        <v>0.18708473848092852</v>
      </c>
      <c r="S14" s="163">
        <v>0.7137786710607763</v>
      </c>
      <c r="T14" s="164">
        <v>1.9962864201908549E-2</v>
      </c>
      <c r="U14" s="6"/>
      <c r="V14" s="28">
        <v>2014</v>
      </c>
      <c r="W14" s="24">
        <f>SUMIFS($O$4:$O$1532,$F$4:$F$1532,"IPO",$J$4:$J$1532,"&gt;=01/01/2014",$J$4:$J$1532,"&lt;=31/12/2014")</f>
        <v>417980763</v>
      </c>
      <c r="X14" s="24">
        <f>SUMIFS($O$4:$O$1532,$F$4:$F$1532,"FOLLOW-ON",$J$4:$J$1532,"&gt;=01/01/2014",$J$4:$J$1532,"&lt;=31/12/2014")</f>
        <v>13959899998.896816</v>
      </c>
      <c r="Y14" s="29">
        <f>SUMIFS($O$4:$O$1532,$J$4:$J$1532,"&gt;=01/01/2014",$J$4:$J$1532,"&lt;=31/12/2014")</f>
        <v>14377880761.896816</v>
      </c>
    </row>
    <row r="15" spans="2:27" ht="13" x14ac:dyDescent="0.3">
      <c r="B15" s="40" t="s">
        <v>199</v>
      </c>
      <c r="C15" s="41" t="s">
        <v>189</v>
      </c>
      <c r="D15" s="19" t="s">
        <v>70</v>
      </c>
      <c r="E15" s="19" t="s">
        <v>187</v>
      </c>
      <c r="F15" s="19" t="s">
        <v>24</v>
      </c>
      <c r="G15" s="19" t="s">
        <v>181</v>
      </c>
      <c r="H15" s="20">
        <v>38330</v>
      </c>
      <c r="I15" s="21">
        <v>40.00111342111633</v>
      </c>
      <c r="J15" s="22">
        <v>38330</v>
      </c>
      <c r="K15" s="23">
        <v>169</v>
      </c>
      <c r="L15" s="23">
        <v>250</v>
      </c>
      <c r="M15" s="24">
        <v>0</v>
      </c>
      <c r="N15" s="24">
        <v>412805170.32999998</v>
      </c>
      <c r="O15" s="24">
        <v>412805170.32999998</v>
      </c>
      <c r="P15" s="24">
        <v>148790790.92055941</v>
      </c>
      <c r="Q15" s="163">
        <v>4.8351127856414856E-2</v>
      </c>
      <c r="R15" s="163">
        <v>0.13896637177197091</v>
      </c>
      <c r="S15" s="163">
        <v>0.78504903466545317</v>
      </c>
      <c r="T15" s="164">
        <v>2.7633465706161008E-2</v>
      </c>
      <c r="U15" s="6"/>
      <c r="V15" s="28">
        <v>2015</v>
      </c>
      <c r="W15" s="24">
        <f>SUMIFS($O$4:$O$1532,$F$4:$F$1532,"IPO",$J$4:$J$1532,"&gt;=01/01/2015",$J$4:$J$1532,"&lt;=31/12/2015")</f>
        <v>602800013.70000005</v>
      </c>
      <c r="X15" s="24">
        <f>SUMIFS($O$4:$O$1532,$F$4:$F$1532,"FOLLOW-ON",$J$4:$J$1532,"&gt;=01/01/2015",$J$4:$J$1532,"&lt;=31/12/2015")</f>
        <v>17461217464.799999</v>
      </c>
      <c r="Y15" s="29">
        <f>SUMIFS($O$4:$O$1532,$J$4:$J$1532,"&gt;=01/01/2015",$J$4:$J$1532,"&lt;=31/12/2015")</f>
        <v>18064017478.5</v>
      </c>
    </row>
    <row r="16" spans="2:27" ht="13" x14ac:dyDescent="0.3">
      <c r="B16" s="40" t="s">
        <v>200</v>
      </c>
      <c r="C16" s="41" t="s">
        <v>189</v>
      </c>
      <c r="D16" s="19" t="s">
        <v>70</v>
      </c>
      <c r="E16" s="19" t="s">
        <v>187</v>
      </c>
      <c r="F16" s="19" t="s">
        <v>24</v>
      </c>
      <c r="G16" s="19" t="s">
        <v>181</v>
      </c>
      <c r="H16" s="20">
        <v>38330</v>
      </c>
      <c r="I16" s="21">
        <v>55</v>
      </c>
      <c r="J16" s="22">
        <v>38330</v>
      </c>
      <c r="K16" s="23">
        <v>66</v>
      </c>
      <c r="L16" s="23">
        <v>119</v>
      </c>
      <c r="M16" s="24">
        <v>0</v>
      </c>
      <c r="N16" s="24">
        <v>88266090</v>
      </c>
      <c r="O16" s="24">
        <v>88266090</v>
      </c>
      <c r="P16" s="24">
        <v>31814478.806228373</v>
      </c>
      <c r="Q16" s="163">
        <v>0.12963177591756925</v>
      </c>
      <c r="R16" s="163">
        <v>0.52802837420350213</v>
      </c>
      <c r="S16" s="163">
        <v>0.28401620599711624</v>
      </c>
      <c r="T16" s="164">
        <v>5.8323643881812368E-2</v>
      </c>
      <c r="U16" s="6"/>
      <c r="V16" s="28">
        <v>2016</v>
      </c>
      <c r="W16" s="24">
        <f>SUMIFS($O$4:$O$1532,$F$4:$F$1532,"IPO",$J$4:$J$1532,"&gt;=01/01/2016",$J$4:$J$1532,"&lt;=31/12/2016")</f>
        <v>674197600</v>
      </c>
      <c r="X16" s="24">
        <f>SUMIFS($O$4:$O$1532,$F$4:$F$1532,"FOLLOW-ON",$J$4:$J$1532,"&gt;=01/01/2016",$J$4:$J$1532,"&lt;=31/12/2016")</f>
        <v>9966649297.9599991</v>
      </c>
      <c r="Y16" s="29">
        <f>SUMIFS($O$4:$O$1532,$J$4:$J$1532,"&gt;=01/01/2016",$J$4:$J$1532,"&lt;=31/12/2016")</f>
        <v>10640846897.959999</v>
      </c>
    </row>
    <row r="17" spans="2:25" ht="13" x14ac:dyDescent="0.3">
      <c r="B17" s="40" t="s">
        <v>201</v>
      </c>
      <c r="C17" s="41" t="s">
        <v>189</v>
      </c>
      <c r="D17" s="19" t="s">
        <v>71</v>
      </c>
      <c r="E17" s="19" t="s">
        <v>202</v>
      </c>
      <c r="F17" s="19" t="s">
        <v>24</v>
      </c>
      <c r="G17" s="19" t="s">
        <v>181</v>
      </c>
      <c r="H17" s="20">
        <v>38335</v>
      </c>
      <c r="I17" s="21">
        <v>77</v>
      </c>
      <c r="J17" s="22">
        <v>38336</v>
      </c>
      <c r="K17" s="23">
        <v>315</v>
      </c>
      <c r="L17" s="23">
        <v>737</v>
      </c>
      <c r="M17" s="24">
        <v>1044546272</v>
      </c>
      <c r="N17" s="24">
        <v>0</v>
      </c>
      <c r="O17" s="24">
        <v>1044546272</v>
      </c>
      <c r="P17" s="24">
        <v>379724542.67849356</v>
      </c>
      <c r="Q17" s="163">
        <v>3.2629599007366901E-2</v>
      </c>
      <c r="R17" s="163">
        <v>0.15792991887677715</v>
      </c>
      <c r="S17" s="163">
        <v>0.66331297193122341</v>
      </c>
      <c r="T17" s="164">
        <v>0.14612751018463258</v>
      </c>
      <c r="U17" s="6"/>
      <c r="V17" s="28">
        <v>2017</v>
      </c>
      <c r="W17" s="24">
        <f>SUMIFS($O$4:$O$1532,$F$4:$F$1532,"IPO",$J$4:$J$1532,"&gt;=01/01/2017",$J$4:$J$1532,"&lt;=31/12/2017")</f>
        <v>20760529289</v>
      </c>
      <c r="X17" s="24">
        <f>SUMIFS($O$4:$O$1532,$F$4:$F$1532,"FOLLOW-ON",$J$4:$J$1532,"&gt;=01/01/2017",$J$4:$J$1532,"&lt;=31/12/2017")</f>
        <v>21020386287.610001</v>
      </c>
      <c r="Y17" s="29">
        <f>SUMIFS($O$4:$O$1532,$J$4:$J$1532,"&gt;=01/01/2017",$J$4:$J$1532,"&lt;=31/12/2017")</f>
        <v>41780915576.610008</v>
      </c>
    </row>
    <row r="18" spans="2:25" ht="13.5" thickBot="1" x14ac:dyDescent="0.35">
      <c r="B18" s="30" t="s">
        <v>203</v>
      </c>
      <c r="C18" s="31" t="s">
        <v>184</v>
      </c>
      <c r="D18" s="31" t="s">
        <v>64</v>
      </c>
      <c r="E18" s="31" t="s">
        <v>204</v>
      </c>
      <c r="F18" s="31" t="s">
        <v>24</v>
      </c>
      <c r="G18" s="31" t="s">
        <v>181</v>
      </c>
      <c r="H18" s="32">
        <v>38337</v>
      </c>
      <c r="I18" s="33">
        <v>5.8</v>
      </c>
      <c r="J18" s="34">
        <v>38338</v>
      </c>
      <c r="K18" s="35">
        <v>4680</v>
      </c>
      <c r="L18" s="35">
        <v>5284</v>
      </c>
      <c r="M18" s="36">
        <v>31900000</v>
      </c>
      <c r="N18" s="36">
        <v>146740000</v>
      </c>
      <c r="O18" s="36">
        <v>178640000</v>
      </c>
      <c r="P18" s="36">
        <v>65563181.267662495</v>
      </c>
      <c r="Q18" s="165">
        <v>0.17821548701298703</v>
      </c>
      <c r="R18" s="165">
        <v>0.45734454545454545</v>
      </c>
      <c r="S18" s="165">
        <v>0.35107967532467532</v>
      </c>
      <c r="T18" s="166">
        <v>1.3360292207792208E-2</v>
      </c>
      <c r="U18" s="6"/>
      <c r="V18" s="28">
        <v>2018</v>
      </c>
      <c r="W18" s="24">
        <f>SUMIFS($O$4:$O$1532,$F$4:$F$1532,"IPO",$J$4:$J$1532,"&gt;=01/01/2018",$J$4:$J$1532,"&lt;=31/12/2018")</f>
        <v>6823344094.5</v>
      </c>
      <c r="X18" s="24">
        <f>SUMIFS($O$4:$O$1532,$F$4:$F$1532,"FOLLOW-ON",$J$4:$J$1532,"&gt;=01/01/2018",$J$4:$J$1532,"&lt;=31/12/2018")</f>
        <v>4429700000</v>
      </c>
      <c r="Y18" s="29">
        <f>SUMIFS($O$4:$O$1532,$J$4:$J$1532,"&gt;=01/01/2018",$J$4:$J$1532,"&lt;=31/12/2018")</f>
        <v>11253044094.5</v>
      </c>
    </row>
    <row r="19" spans="2:25" ht="13.5" thickTop="1" x14ac:dyDescent="0.3">
      <c r="B19" s="40" t="s">
        <v>205</v>
      </c>
      <c r="C19" s="41" t="s">
        <v>189</v>
      </c>
      <c r="D19" s="41" t="s">
        <v>72</v>
      </c>
      <c r="E19" s="41" t="s">
        <v>192</v>
      </c>
      <c r="F19" s="41" t="s">
        <v>24</v>
      </c>
      <c r="G19" s="41" t="s">
        <v>181</v>
      </c>
      <c r="H19" s="42">
        <v>38383</v>
      </c>
      <c r="I19" s="43">
        <v>15.65</v>
      </c>
      <c r="J19" s="44">
        <v>38383</v>
      </c>
      <c r="K19" s="45">
        <v>1402</v>
      </c>
      <c r="L19" s="45">
        <v>2064</v>
      </c>
      <c r="M19" s="46">
        <v>0</v>
      </c>
      <c r="N19" s="46">
        <v>718294106.54999995</v>
      </c>
      <c r="O19" s="46">
        <v>718294106.54999995</v>
      </c>
      <c r="P19" s="46">
        <v>273656700.14858276</v>
      </c>
      <c r="Q19" s="167">
        <v>8.6912289799852868E-2</v>
      </c>
      <c r="R19" s="167">
        <v>0.32188932672790277</v>
      </c>
      <c r="S19" s="167">
        <v>0.56771033610257593</v>
      </c>
      <c r="T19" s="168">
        <v>2.3488047369668339E-2</v>
      </c>
      <c r="U19" s="6"/>
      <c r="V19" s="28">
        <v>2019</v>
      </c>
      <c r="W19" s="24">
        <f>SUMIFS($O$4:$O$1532,$F$4:$F$1532,"IPO",$J$4:$J$1532,"&gt;=01/01/2019",$J$4:$J$1532,"&lt;=31/12/2019")</f>
        <v>9836302564.7000008</v>
      </c>
      <c r="X19" s="24">
        <f>SUMIFS($O$4:$O$1532,$F$4:$F$1532,"FOLLOW-ON",$J$4:$J$1532,"&gt;=01/01/2019",$J$4:$J$1532,"&lt;=31/12/2019")</f>
        <v>79762980683.209991</v>
      </c>
      <c r="Y19" s="29">
        <f>SUMIFS($O$4:$O$1532,$J$4:$J$1532,"&gt;=01/01/2019",$J$4:$J$1532,"&lt;=31/12/2019")</f>
        <v>89599283247.910004</v>
      </c>
    </row>
    <row r="20" spans="2:25" ht="13" x14ac:dyDescent="0.3">
      <c r="B20" s="40" t="s">
        <v>206</v>
      </c>
      <c r="C20" s="41" t="s">
        <v>179</v>
      </c>
      <c r="D20" s="19" t="s">
        <v>73</v>
      </c>
      <c r="E20" s="19" t="s">
        <v>207</v>
      </c>
      <c r="F20" s="19" t="s">
        <v>23</v>
      </c>
      <c r="G20" s="19" t="s">
        <v>181</v>
      </c>
      <c r="H20" s="20">
        <v>38209</v>
      </c>
      <c r="I20" s="21">
        <v>1.6</v>
      </c>
      <c r="J20" s="22">
        <v>38411</v>
      </c>
      <c r="K20" s="23">
        <v>1589</v>
      </c>
      <c r="L20" s="23">
        <v>1781</v>
      </c>
      <c r="M20" s="24">
        <v>16000000</v>
      </c>
      <c r="N20" s="24">
        <v>0</v>
      </c>
      <c r="O20" s="24">
        <v>16000000</v>
      </c>
      <c r="P20" s="24">
        <v>6165703.2755298642</v>
      </c>
      <c r="Q20" s="163">
        <v>0.87065859999999995</v>
      </c>
      <c r="R20" s="163">
        <v>1.0185300000000001E-2</v>
      </c>
      <c r="S20" s="163">
        <v>5.2089100000000006E-2</v>
      </c>
      <c r="T20" s="164">
        <v>6.7067000000000002E-2</v>
      </c>
      <c r="U20" s="6"/>
      <c r="V20" s="28">
        <v>2020</v>
      </c>
      <c r="W20" s="24">
        <f>SUMIFS($O$4:$O$1532,$F$4:$F$1532,"IPO",$J$4:$J$1532,"&gt;=01/01/2020",$J$4:$J$1532,"&lt;=31/12/2020")</f>
        <v>43925413832.250008</v>
      </c>
      <c r="X20" s="24">
        <f>SUMIFS($O$4:$O$1532,$F$4:$F$1532,"FOLLOW-ON",$J$4:$J$1532,"&gt;=01/01/2020",$J$4:$J$1532,"&lt;=31/12/2020")</f>
        <v>73962720930.050003</v>
      </c>
      <c r="Y20" s="29">
        <f>SUMIFS($O$4:$O$1532,$J$4:$J$1532,"&gt;=01/01/2020",$J$4:$J$1532,"&lt;=31/12/2020")</f>
        <v>117888134762.29999</v>
      </c>
    </row>
    <row r="21" spans="2:25" ht="13" x14ac:dyDescent="0.3">
      <c r="B21" s="40" t="s">
        <v>186</v>
      </c>
      <c r="C21" s="41" t="s">
        <v>184</v>
      </c>
      <c r="D21" s="19" t="s">
        <v>62</v>
      </c>
      <c r="E21" s="19" t="s">
        <v>187</v>
      </c>
      <c r="F21" s="19" t="s">
        <v>24</v>
      </c>
      <c r="G21" s="19" t="s">
        <v>181</v>
      </c>
      <c r="H21" s="20">
        <v>38433</v>
      </c>
      <c r="I21" s="21">
        <v>72.5</v>
      </c>
      <c r="J21" s="22">
        <v>38434</v>
      </c>
      <c r="K21" s="23">
        <v>1167</v>
      </c>
      <c r="L21" s="23">
        <v>1540</v>
      </c>
      <c r="M21" s="24">
        <v>0</v>
      </c>
      <c r="N21" s="24">
        <v>644865677.5</v>
      </c>
      <c r="O21" s="24">
        <v>644865677.5</v>
      </c>
      <c r="P21" s="24">
        <v>235326671.3498522</v>
      </c>
      <c r="Q21" s="163">
        <v>8.5816619539345856E-2</v>
      </c>
      <c r="R21" s="163">
        <v>0.11042386032399747</v>
      </c>
      <c r="S21" s="163">
        <v>0.79990194159465089</v>
      </c>
      <c r="T21" s="164">
        <v>3.8575785420057497E-3</v>
      </c>
      <c r="U21" s="6"/>
      <c r="V21" s="28">
        <v>2021</v>
      </c>
      <c r="W21" s="24">
        <f>SUMIFS($O$4:$O$1532,$F$4:$F$1532,"IPO",$J$4:$J$1532,"&gt;=01/01/2021",$J$4:$J$1532,"&lt;=31/12/2021")</f>
        <v>65668660562.69001</v>
      </c>
      <c r="X21" s="24">
        <f>SUMIFS($O$4:$O$1532,$F$4:$F$1532,"FOLLOW-ON",$J$4:$J$1532,"&gt;=01/01/2021",$J$4:$J$1532,"&lt;=31/12/2021")</f>
        <v>64844099967.299995</v>
      </c>
      <c r="Y21" s="29">
        <f>SUMIFS($O$4:$O$1532,$J$4:$J$1532,"&gt;=01/01/2021",$J$4:$J$1532,"&lt;=31/12/2021")</f>
        <v>130512760529.98999</v>
      </c>
    </row>
    <row r="22" spans="2:25" ht="13" x14ac:dyDescent="0.3">
      <c r="B22" s="40" t="s">
        <v>208</v>
      </c>
      <c r="C22" s="41" t="s">
        <v>179</v>
      </c>
      <c r="D22" s="19" t="s">
        <v>74</v>
      </c>
      <c r="E22" s="19" t="s">
        <v>202</v>
      </c>
      <c r="F22" s="19" t="s">
        <v>23</v>
      </c>
      <c r="G22" s="19" t="s">
        <v>181</v>
      </c>
      <c r="H22" s="20">
        <v>38440</v>
      </c>
      <c r="I22" s="21">
        <v>21.62</v>
      </c>
      <c r="J22" s="22">
        <v>38441</v>
      </c>
      <c r="K22" s="23">
        <v>3969</v>
      </c>
      <c r="L22" s="23">
        <v>4368</v>
      </c>
      <c r="M22" s="24">
        <v>135125000</v>
      </c>
      <c r="N22" s="24">
        <v>337812500</v>
      </c>
      <c r="O22" s="24">
        <v>472937500</v>
      </c>
      <c r="P22" s="24">
        <v>176416554.75977319</v>
      </c>
      <c r="Q22" s="163">
        <v>8.858470559006211E-2</v>
      </c>
      <c r="R22" s="163">
        <v>0.2329450931677019</v>
      </c>
      <c r="S22" s="163">
        <v>0.65442583850931679</v>
      </c>
      <c r="T22" s="164">
        <v>2.4044362732919256E-2</v>
      </c>
      <c r="U22" s="6"/>
      <c r="V22" s="28">
        <v>2022</v>
      </c>
      <c r="W22" s="24">
        <f>SUMIFS($O$4:$O$1532,$F$4:$F$1532,"IPO",$J$4:$J$1532,"&gt;=01/01/2022",$J$4:$J$1532,"&lt;=31/12/2022")</f>
        <v>0</v>
      </c>
      <c r="X22" s="24">
        <f>SUMIFS($O$4:$O$1532,$F$4:$F$1532,"FOLLOW-ON",$J$4:$J$1532,"&gt;=01/01/2022",$J$4:$J$1532,"&lt;=31/12/2022")</f>
        <v>57701485612.419998</v>
      </c>
      <c r="Y22" s="29">
        <f>SUMIFS($O$4:$O$1532,$J$4:$J$1532,"&gt;=01/01/2022",$J$4:$J$1532,"&lt;=31/12/2022")</f>
        <v>57701485612.419998</v>
      </c>
    </row>
    <row r="23" spans="2:25" ht="13" x14ac:dyDescent="0.3">
      <c r="B23" s="40" t="s">
        <v>209</v>
      </c>
      <c r="C23" s="41" t="s">
        <v>210</v>
      </c>
      <c r="D23" s="19" t="s">
        <v>75</v>
      </c>
      <c r="E23" s="19" t="s">
        <v>180</v>
      </c>
      <c r="F23" s="19" t="s">
        <v>24</v>
      </c>
      <c r="G23" s="19" t="s">
        <v>181</v>
      </c>
      <c r="H23" s="20">
        <v>38454</v>
      </c>
      <c r="I23" s="21">
        <v>0.04</v>
      </c>
      <c r="J23" s="22">
        <v>38455</v>
      </c>
      <c r="K23" s="23">
        <v>1466</v>
      </c>
      <c r="L23" s="23">
        <v>1817</v>
      </c>
      <c r="M23" s="24">
        <v>47218027.880000003</v>
      </c>
      <c r="N23" s="24">
        <v>314786852.72000003</v>
      </c>
      <c r="O23" s="24">
        <v>362004880.60000002</v>
      </c>
      <c r="P23" s="24">
        <v>141419204.85975468</v>
      </c>
      <c r="Q23" s="163">
        <v>8.0113947502397281E-2</v>
      </c>
      <c r="R23" s="163">
        <v>0.13830698811854636</v>
      </c>
      <c r="S23" s="163">
        <v>0.74808946064800641</v>
      </c>
      <c r="T23" s="164">
        <v>3.3489603731049804E-2</v>
      </c>
      <c r="U23" s="6"/>
      <c r="V23" s="28">
        <v>2023</v>
      </c>
      <c r="W23" s="24">
        <f>SUMIFS($O$4:$O$1532,$F$4:$F$1532,"IPO",$J$4:$J$1532,"&gt;=01/01/2023",$J$4:$J$1532,"&lt;=31/12/2023")</f>
        <v>0</v>
      </c>
      <c r="X23" s="24">
        <f>SUMIFS($O$4:$O$1532,$F$4:$F$1532,"FOLLOW-ON",$J$4:$J$1532,"&gt;=01/01/2023",$J$4:$J$1532,"&lt;=31/12/2023")</f>
        <v>31624646072.540001</v>
      </c>
      <c r="Y23" s="29">
        <f>SUMIFS($O$4:$O$1532,$J$4:$J$1532,"&gt;=01/01/2023",$J$4:$J$1532,"&lt;=31/12/2023")</f>
        <v>31624646072.540001</v>
      </c>
    </row>
    <row r="24" spans="2:25" ht="12.5" x14ac:dyDescent="0.25">
      <c r="B24" s="40" t="s">
        <v>183</v>
      </c>
      <c r="C24" s="41" t="s">
        <v>184</v>
      </c>
      <c r="D24" s="19" t="s">
        <v>61</v>
      </c>
      <c r="E24" s="19" t="s">
        <v>211</v>
      </c>
      <c r="F24" s="19" t="s">
        <v>24</v>
      </c>
      <c r="G24" s="19" t="s">
        <v>181</v>
      </c>
      <c r="H24" s="20">
        <v>38469</v>
      </c>
      <c r="I24" s="21">
        <v>35.119999999999997</v>
      </c>
      <c r="J24" s="22">
        <v>38470</v>
      </c>
      <c r="K24" s="23">
        <v>2379</v>
      </c>
      <c r="L24" s="23">
        <v>2598</v>
      </c>
      <c r="M24" s="24">
        <v>271330482.31999999</v>
      </c>
      <c r="N24" s="24">
        <v>322373117.67999995</v>
      </c>
      <c r="O24" s="24">
        <v>593703600</v>
      </c>
      <c r="P24" s="24">
        <v>235437839.5526827</v>
      </c>
      <c r="Q24" s="163">
        <v>4.7624312333629099E-2</v>
      </c>
      <c r="R24" s="163">
        <v>0.15055959775214431</v>
      </c>
      <c r="S24" s="163">
        <v>0.79227151730257306</v>
      </c>
      <c r="T24" s="164">
        <v>9.5445726116533559E-3</v>
      </c>
      <c r="U24" s="6"/>
    </row>
    <row r="25" spans="2:25" ht="12.5" x14ac:dyDescent="0.25">
      <c r="B25" s="40" t="s">
        <v>212</v>
      </c>
      <c r="C25" s="41" t="s">
        <v>179</v>
      </c>
      <c r="D25" s="19" t="s">
        <v>76</v>
      </c>
      <c r="E25" s="19" t="s">
        <v>202</v>
      </c>
      <c r="F25" s="19" t="s">
        <v>23</v>
      </c>
      <c r="G25" s="19" t="s">
        <v>181</v>
      </c>
      <c r="H25" s="20">
        <v>38491</v>
      </c>
      <c r="I25" s="21">
        <v>11.5</v>
      </c>
      <c r="J25" s="22">
        <v>38495</v>
      </c>
      <c r="K25" s="23">
        <v>785</v>
      </c>
      <c r="L25" s="23">
        <v>958</v>
      </c>
      <c r="M25" s="24">
        <v>0</v>
      </c>
      <c r="N25" s="24">
        <v>264802737.5</v>
      </c>
      <c r="O25" s="24">
        <v>264802737.5</v>
      </c>
      <c r="P25" s="24">
        <v>108113639.61131752</v>
      </c>
      <c r="Q25" s="163">
        <v>8.2029748017389284E-2</v>
      </c>
      <c r="R25" s="163">
        <v>4.0349202653940167E-2</v>
      </c>
      <c r="S25" s="163">
        <v>0.86661689432317945</v>
      </c>
      <c r="T25" s="164">
        <v>1.1004155005491085E-2</v>
      </c>
      <c r="U25" s="6"/>
    </row>
    <row r="26" spans="2:25" ht="12.5" x14ac:dyDescent="0.25">
      <c r="B26" s="40" t="s">
        <v>213</v>
      </c>
      <c r="C26" s="41" t="s">
        <v>184</v>
      </c>
      <c r="D26" s="19" t="s">
        <v>61</v>
      </c>
      <c r="E26" s="19" t="s">
        <v>187</v>
      </c>
      <c r="F26" s="19" t="s">
        <v>23</v>
      </c>
      <c r="G26" s="19" t="s">
        <v>181</v>
      </c>
      <c r="H26" s="20">
        <v>38516</v>
      </c>
      <c r="I26" s="21">
        <v>18</v>
      </c>
      <c r="J26" s="22">
        <v>38517</v>
      </c>
      <c r="K26" s="23">
        <v>1171</v>
      </c>
      <c r="L26" s="23">
        <v>1647</v>
      </c>
      <c r="M26" s="24">
        <v>383942160</v>
      </c>
      <c r="N26" s="24">
        <v>164546640</v>
      </c>
      <c r="O26" s="24">
        <v>548488800</v>
      </c>
      <c r="P26" s="24">
        <v>225948012.3583934</v>
      </c>
      <c r="Q26" s="163">
        <v>9.1328515732682233E-2</v>
      </c>
      <c r="R26" s="163">
        <v>0.16127735333884666</v>
      </c>
      <c r="S26" s="163">
        <v>0.73807417398495645</v>
      </c>
      <c r="T26" s="164">
        <v>9.3199569435146162E-3</v>
      </c>
      <c r="U26" s="6"/>
    </row>
    <row r="27" spans="2:25" ht="12.5" x14ac:dyDescent="0.25">
      <c r="B27" s="40" t="s">
        <v>214</v>
      </c>
      <c r="C27" s="41" t="s">
        <v>210</v>
      </c>
      <c r="D27" s="19" t="s">
        <v>65</v>
      </c>
      <c r="E27" s="19" t="s">
        <v>202</v>
      </c>
      <c r="F27" s="19" t="s">
        <v>24</v>
      </c>
      <c r="G27" s="19" t="s">
        <v>181</v>
      </c>
      <c r="H27" s="20">
        <v>38517</v>
      </c>
      <c r="I27" s="21">
        <v>3.6499999999999998E-2</v>
      </c>
      <c r="J27" s="22">
        <v>38518</v>
      </c>
      <c r="K27" s="23">
        <v>657</v>
      </c>
      <c r="L27" s="23">
        <v>1139</v>
      </c>
      <c r="M27" s="24">
        <v>0</v>
      </c>
      <c r="N27" s="24">
        <v>1059840083.5385001</v>
      </c>
      <c r="O27" s="24">
        <v>1059840083.5385001</v>
      </c>
      <c r="P27" s="24">
        <v>433383800.26109183</v>
      </c>
      <c r="Q27" s="163">
        <v>1.7381361137518082E-2</v>
      </c>
      <c r="R27" s="163">
        <v>0.17793288041473623</v>
      </c>
      <c r="S27" s="163">
        <v>0.80199920997291008</v>
      </c>
      <c r="T27" s="164">
        <v>2.686548474835607E-3</v>
      </c>
      <c r="U27" s="6"/>
    </row>
    <row r="28" spans="2:25" ht="12.5" x14ac:dyDescent="0.25">
      <c r="B28" s="40" t="s">
        <v>215</v>
      </c>
      <c r="C28" s="41" t="s">
        <v>179</v>
      </c>
      <c r="D28" s="19" t="s">
        <v>77</v>
      </c>
      <c r="E28" s="19" t="s">
        <v>202</v>
      </c>
      <c r="F28" s="19" t="s">
        <v>24</v>
      </c>
      <c r="G28" s="19" t="s">
        <v>181</v>
      </c>
      <c r="H28" s="20">
        <v>38532</v>
      </c>
      <c r="I28" s="21">
        <v>37</v>
      </c>
      <c r="J28" s="22">
        <v>38534</v>
      </c>
      <c r="K28" s="23">
        <v>106</v>
      </c>
      <c r="L28" s="23">
        <v>448</v>
      </c>
      <c r="M28" s="24">
        <v>343138259</v>
      </c>
      <c r="N28" s="24">
        <v>542890492</v>
      </c>
      <c r="O28" s="24">
        <v>886028751</v>
      </c>
      <c r="P28" s="24">
        <v>377692463.87314039</v>
      </c>
      <c r="Q28" s="163">
        <v>1.8411596364719902E-2</v>
      </c>
      <c r="R28" s="163">
        <v>0.11606454064758348</v>
      </c>
      <c r="S28" s="163">
        <v>0.86066164857145577</v>
      </c>
      <c r="T28" s="164">
        <v>4.8622144162407963E-3</v>
      </c>
      <c r="U28" s="6"/>
    </row>
    <row r="29" spans="2:25" ht="12.5" x14ac:dyDescent="0.25">
      <c r="B29" s="40" t="s">
        <v>216</v>
      </c>
      <c r="C29" s="41" t="s">
        <v>179</v>
      </c>
      <c r="D29" s="19" t="s">
        <v>65</v>
      </c>
      <c r="E29" s="19" t="s">
        <v>180</v>
      </c>
      <c r="F29" s="19" t="s">
        <v>23</v>
      </c>
      <c r="G29" s="19" t="s">
        <v>181</v>
      </c>
      <c r="H29" s="20">
        <v>38545</v>
      </c>
      <c r="I29" s="21">
        <v>18</v>
      </c>
      <c r="J29" s="22">
        <v>38546</v>
      </c>
      <c r="K29" s="23">
        <v>460</v>
      </c>
      <c r="L29" s="23">
        <v>1473</v>
      </c>
      <c r="M29" s="24">
        <v>1170132696</v>
      </c>
      <c r="N29" s="24">
        <v>14570028</v>
      </c>
      <c r="O29" s="24">
        <v>1184702724</v>
      </c>
      <c r="P29" s="24">
        <v>504515255.94072056</v>
      </c>
      <c r="Q29" s="163">
        <v>1.2570388923998119E-2</v>
      </c>
      <c r="R29" s="163">
        <v>0.1546174565898947</v>
      </c>
      <c r="S29" s="163">
        <v>0.26359767195065553</v>
      </c>
      <c r="T29" s="164">
        <v>0.5692144825354517</v>
      </c>
      <c r="U29" s="6"/>
    </row>
    <row r="30" spans="2:25" ht="12.5" x14ac:dyDescent="0.25">
      <c r="B30" s="40" t="s">
        <v>217</v>
      </c>
      <c r="C30" s="41" t="s">
        <v>179</v>
      </c>
      <c r="D30" s="19" t="s">
        <v>59</v>
      </c>
      <c r="E30" s="19" t="s">
        <v>192</v>
      </c>
      <c r="F30" s="19" t="s">
        <v>23</v>
      </c>
      <c r="G30" s="19" t="s">
        <v>181</v>
      </c>
      <c r="H30" s="20">
        <v>38546</v>
      </c>
      <c r="I30" s="21">
        <v>18</v>
      </c>
      <c r="J30" s="22">
        <v>38548</v>
      </c>
      <c r="K30" s="23">
        <v>1057</v>
      </c>
      <c r="L30" s="23">
        <v>1367</v>
      </c>
      <c r="M30" s="24">
        <v>135000000</v>
      </c>
      <c r="N30" s="24">
        <v>360999990</v>
      </c>
      <c r="O30" s="24">
        <v>495999990</v>
      </c>
      <c r="P30" s="24">
        <v>211721513.63810989</v>
      </c>
      <c r="Q30" s="163">
        <v>7.9794400802306473E-2</v>
      </c>
      <c r="R30" s="163">
        <v>0.20655435900311209</v>
      </c>
      <c r="S30" s="163">
        <v>0.70142169156092116</v>
      </c>
      <c r="T30" s="164">
        <v>1.2229548633660254E-2</v>
      </c>
      <c r="U30" s="6"/>
    </row>
    <row r="31" spans="2:25" ht="12.5" x14ac:dyDescent="0.25">
      <c r="B31" s="40" t="s">
        <v>205</v>
      </c>
      <c r="C31" s="41" t="s">
        <v>189</v>
      </c>
      <c r="D31" s="19" t="s">
        <v>72</v>
      </c>
      <c r="E31" s="19" t="s">
        <v>192</v>
      </c>
      <c r="F31" s="19" t="s">
        <v>24</v>
      </c>
      <c r="G31" s="19" t="s">
        <v>181</v>
      </c>
      <c r="H31" s="20">
        <v>38608</v>
      </c>
      <c r="I31" s="21">
        <v>20.49</v>
      </c>
      <c r="J31" s="22">
        <v>38609</v>
      </c>
      <c r="K31" s="23">
        <v>932</v>
      </c>
      <c r="L31" s="23">
        <v>1415</v>
      </c>
      <c r="M31" s="24">
        <v>0</v>
      </c>
      <c r="N31" s="24">
        <v>1765197435.8399999</v>
      </c>
      <c r="O31" s="24">
        <v>1765197435.8399999</v>
      </c>
      <c r="P31" s="24">
        <v>757595466.02575099</v>
      </c>
      <c r="Q31" s="163">
        <v>2.9388961589621433E-2</v>
      </c>
      <c r="R31" s="163">
        <v>0.1540143441351805</v>
      </c>
      <c r="S31" s="163">
        <v>0.80465119961161347</v>
      </c>
      <c r="T31" s="164">
        <v>1.1945494663584633E-2</v>
      </c>
      <c r="U31" s="6"/>
    </row>
    <row r="32" spans="2:25" ht="12.5" x14ac:dyDescent="0.25">
      <c r="B32" s="40" t="s">
        <v>201</v>
      </c>
      <c r="C32" s="41" t="s">
        <v>189</v>
      </c>
      <c r="D32" s="19" t="s">
        <v>71</v>
      </c>
      <c r="E32" s="19" t="s">
        <v>202</v>
      </c>
      <c r="F32" s="19" t="s">
        <v>24</v>
      </c>
      <c r="G32" s="19" t="s">
        <v>181</v>
      </c>
      <c r="H32" s="20">
        <v>38609</v>
      </c>
      <c r="I32" s="21">
        <v>53</v>
      </c>
      <c r="J32" s="22">
        <v>38610</v>
      </c>
      <c r="K32" s="23">
        <v>823</v>
      </c>
      <c r="L32" s="23">
        <v>1289</v>
      </c>
      <c r="M32" s="24">
        <v>0</v>
      </c>
      <c r="N32" s="24">
        <v>505059260</v>
      </c>
      <c r="O32" s="24">
        <v>505059260</v>
      </c>
      <c r="P32" s="24">
        <v>219476473.14444637</v>
      </c>
      <c r="Q32" s="163">
        <v>8.5088494367967824E-2</v>
      </c>
      <c r="R32" s="163">
        <v>0.23694778905746625</v>
      </c>
      <c r="S32" s="163">
        <v>0.67082687089035853</v>
      </c>
      <c r="T32" s="164">
        <v>7.1368456842074331E-3</v>
      </c>
      <c r="U32" s="6"/>
    </row>
    <row r="33" spans="2:21" ht="12.5" x14ac:dyDescent="0.25">
      <c r="B33" s="40" t="s">
        <v>218</v>
      </c>
      <c r="C33" s="41" t="s">
        <v>179</v>
      </c>
      <c r="D33" s="19" t="s">
        <v>78</v>
      </c>
      <c r="E33" s="19" t="s">
        <v>202</v>
      </c>
      <c r="F33" s="19" t="s">
        <v>24</v>
      </c>
      <c r="G33" s="19" t="s">
        <v>181</v>
      </c>
      <c r="H33" s="20">
        <v>38615</v>
      </c>
      <c r="I33" s="21">
        <v>15</v>
      </c>
      <c r="J33" s="22">
        <v>38617</v>
      </c>
      <c r="K33" s="23">
        <v>1574</v>
      </c>
      <c r="L33" s="23">
        <v>2025</v>
      </c>
      <c r="M33" s="24">
        <v>629175000</v>
      </c>
      <c r="N33" s="24">
        <v>273000000</v>
      </c>
      <c r="O33" s="24">
        <v>902175000</v>
      </c>
      <c r="P33" s="24">
        <v>396525580.16877639</v>
      </c>
      <c r="Q33" s="163">
        <v>8.3550852107407106E-2</v>
      </c>
      <c r="R33" s="163">
        <v>0.18672499792168926</v>
      </c>
      <c r="S33" s="163">
        <v>0.7224429628398038</v>
      </c>
      <c r="T33" s="164">
        <v>7.2811871310998416E-3</v>
      </c>
      <c r="U33" s="6"/>
    </row>
    <row r="34" spans="2:21" ht="12.5" x14ac:dyDescent="0.25">
      <c r="B34" s="40" t="s">
        <v>219</v>
      </c>
      <c r="C34" s="41" t="s">
        <v>179</v>
      </c>
      <c r="D34" s="19" t="s">
        <v>72</v>
      </c>
      <c r="E34" s="19" t="s">
        <v>180</v>
      </c>
      <c r="F34" s="19" t="s">
        <v>23</v>
      </c>
      <c r="G34" s="19" t="s">
        <v>181</v>
      </c>
      <c r="H34" s="20">
        <v>38651</v>
      </c>
      <c r="I34" s="21">
        <v>31</v>
      </c>
      <c r="J34" s="22">
        <v>38653</v>
      </c>
      <c r="K34" s="23">
        <v>7342</v>
      </c>
      <c r="L34" s="23">
        <v>8983</v>
      </c>
      <c r="M34" s="24">
        <v>0</v>
      </c>
      <c r="N34" s="24">
        <v>953955994</v>
      </c>
      <c r="O34" s="24">
        <v>953955994</v>
      </c>
      <c r="P34" s="24">
        <v>418546774.54030126</v>
      </c>
      <c r="Q34" s="163">
        <v>7.061810547206436E-2</v>
      </c>
      <c r="R34" s="163">
        <v>0.21591992324123915</v>
      </c>
      <c r="S34" s="163">
        <v>0.70600518497292442</v>
      </c>
      <c r="T34" s="164">
        <v>7.4567863137720378E-3</v>
      </c>
      <c r="U34" s="6"/>
    </row>
    <row r="35" spans="2:21" ht="12.5" x14ac:dyDescent="0.25">
      <c r="B35" s="40" t="s">
        <v>220</v>
      </c>
      <c r="C35" s="41" t="s">
        <v>179</v>
      </c>
      <c r="D35" s="19" t="s">
        <v>73</v>
      </c>
      <c r="E35" s="19" t="s">
        <v>185</v>
      </c>
      <c r="F35" s="19" t="s">
        <v>23</v>
      </c>
      <c r="G35" s="19" t="s">
        <v>181</v>
      </c>
      <c r="H35" s="20">
        <v>38672</v>
      </c>
      <c r="I35" s="21">
        <v>48</v>
      </c>
      <c r="J35" s="22">
        <v>38674</v>
      </c>
      <c r="K35" s="23">
        <v>8835</v>
      </c>
      <c r="L35" s="23">
        <v>10359</v>
      </c>
      <c r="M35" s="24">
        <v>885767328</v>
      </c>
      <c r="N35" s="24">
        <v>0</v>
      </c>
      <c r="O35" s="24">
        <v>885767328</v>
      </c>
      <c r="P35" s="24">
        <v>399228074.09744442</v>
      </c>
      <c r="Q35" s="163">
        <v>8.2878378643471487E-2</v>
      </c>
      <c r="R35" s="163">
        <v>0.18421603376185941</v>
      </c>
      <c r="S35" s="163">
        <v>0.72297521454753866</v>
      </c>
      <c r="T35" s="164">
        <v>9.9303730471304984E-3</v>
      </c>
      <c r="U35" s="6"/>
    </row>
    <row r="36" spans="2:21" ht="12.5" x14ac:dyDescent="0.25">
      <c r="B36" s="40" t="s">
        <v>221</v>
      </c>
      <c r="C36" s="41" t="s">
        <v>179</v>
      </c>
      <c r="D36" s="19" t="s">
        <v>65</v>
      </c>
      <c r="E36" s="19" t="s">
        <v>180</v>
      </c>
      <c r="F36" s="19" t="s">
        <v>24</v>
      </c>
      <c r="G36" s="19" t="s">
        <v>181</v>
      </c>
      <c r="H36" s="20">
        <v>38693</v>
      </c>
      <c r="I36" s="21">
        <v>13</v>
      </c>
      <c r="J36" s="22">
        <v>38695</v>
      </c>
      <c r="K36" s="23">
        <v>6351</v>
      </c>
      <c r="L36" s="23">
        <v>7405</v>
      </c>
      <c r="M36" s="24">
        <v>0</v>
      </c>
      <c r="N36" s="24">
        <v>1051700000</v>
      </c>
      <c r="O36" s="24">
        <v>1051700000</v>
      </c>
      <c r="P36" s="24">
        <v>468546734.3847456</v>
      </c>
      <c r="Q36" s="163">
        <v>8.4687243510506799E-2</v>
      </c>
      <c r="R36" s="163">
        <v>0.35782385661310262</v>
      </c>
      <c r="S36" s="163">
        <v>0.55052860321384423</v>
      </c>
      <c r="T36" s="164">
        <v>6.9602966625463532E-3</v>
      </c>
      <c r="U36" s="6"/>
    </row>
    <row r="37" spans="2:21" ht="13" thickBot="1" x14ac:dyDescent="0.3">
      <c r="B37" s="30" t="s">
        <v>222</v>
      </c>
      <c r="C37" s="31" t="s">
        <v>184</v>
      </c>
      <c r="D37" s="31" t="s">
        <v>79</v>
      </c>
      <c r="E37" s="52" t="s">
        <v>194</v>
      </c>
      <c r="F37" s="52" t="s">
        <v>23</v>
      </c>
      <c r="G37" s="31" t="s">
        <v>181</v>
      </c>
      <c r="H37" s="32">
        <v>38700</v>
      </c>
      <c r="I37" s="33">
        <v>18</v>
      </c>
      <c r="J37" s="55">
        <v>38702</v>
      </c>
      <c r="K37" s="56">
        <v>12890</v>
      </c>
      <c r="L37" s="56">
        <v>14346</v>
      </c>
      <c r="M37" s="57">
        <v>322972416</v>
      </c>
      <c r="N37" s="57">
        <v>301708170</v>
      </c>
      <c r="O37" s="57">
        <v>624680586</v>
      </c>
      <c r="P37" s="57">
        <v>267460432.43706116</v>
      </c>
      <c r="Q37" s="165">
        <v>7.2507475044214037E-2</v>
      </c>
      <c r="R37" s="165">
        <v>0.2122019588423707</v>
      </c>
      <c r="S37" s="165">
        <v>0.70989575782974634</v>
      </c>
      <c r="T37" s="166">
        <v>5.394808283668992E-3</v>
      </c>
      <c r="U37" s="6"/>
    </row>
    <row r="38" spans="2:21" ht="13" thickTop="1" x14ac:dyDescent="0.25">
      <c r="B38" s="40" t="s">
        <v>223</v>
      </c>
      <c r="C38" s="41" t="s">
        <v>189</v>
      </c>
      <c r="D38" s="41" t="s">
        <v>80</v>
      </c>
      <c r="E38" s="41" t="s">
        <v>192</v>
      </c>
      <c r="F38" s="107" t="s">
        <v>24</v>
      </c>
      <c r="G38" s="41" t="s">
        <v>181</v>
      </c>
      <c r="H38" s="42">
        <v>38748</v>
      </c>
      <c r="I38" s="43">
        <v>19.25</v>
      </c>
      <c r="J38" s="169">
        <v>38750</v>
      </c>
      <c r="K38" s="170">
        <v>6870</v>
      </c>
      <c r="L38" s="170">
        <v>7577</v>
      </c>
      <c r="M38" s="111">
        <v>0</v>
      </c>
      <c r="N38" s="111">
        <v>340203787</v>
      </c>
      <c r="O38" s="111">
        <v>340203787</v>
      </c>
      <c r="P38" s="111">
        <v>153127689.1569519</v>
      </c>
      <c r="Q38" s="167">
        <v>0.11827067394332143</v>
      </c>
      <c r="R38" s="167">
        <v>0.43583619318392341</v>
      </c>
      <c r="S38" s="167">
        <v>0.41675699151746798</v>
      </c>
      <c r="T38" s="168">
        <v>2.9136141355287172E-2</v>
      </c>
      <c r="U38" s="6"/>
    </row>
    <row r="39" spans="2:21" ht="12.5" x14ac:dyDescent="0.25">
      <c r="B39" s="40" t="s">
        <v>224</v>
      </c>
      <c r="C39" s="41" t="s">
        <v>179</v>
      </c>
      <c r="D39" s="19" t="s">
        <v>67</v>
      </c>
      <c r="E39" s="19" t="s">
        <v>192</v>
      </c>
      <c r="F39" s="19" t="s">
        <v>23</v>
      </c>
      <c r="G39" s="19" t="s">
        <v>181</v>
      </c>
      <c r="H39" s="20">
        <v>38754</v>
      </c>
      <c r="I39" s="21">
        <v>23.5</v>
      </c>
      <c r="J39" s="22">
        <v>38756</v>
      </c>
      <c r="K39" s="23">
        <v>15465</v>
      </c>
      <c r="L39" s="23">
        <v>17214</v>
      </c>
      <c r="M39" s="24">
        <v>813461524</v>
      </c>
      <c r="N39" s="24">
        <v>0</v>
      </c>
      <c r="O39" s="24">
        <v>813461524</v>
      </c>
      <c r="P39" s="24">
        <v>370496230.64310437</v>
      </c>
      <c r="Q39" s="163">
        <v>6.932671901025278E-2</v>
      </c>
      <c r="R39" s="163">
        <v>0.17995897431038177</v>
      </c>
      <c r="S39" s="163">
        <v>0.73886237980199787</v>
      </c>
      <c r="T39" s="164">
        <v>1.1851926877367589E-2</v>
      </c>
      <c r="U39" s="6"/>
    </row>
    <row r="40" spans="2:21" ht="12.5" x14ac:dyDescent="0.25">
      <c r="B40" s="40" t="s">
        <v>225</v>
      </c>
      <c r="C40" s="41" t="s">
        <v>184</v>
      </c>
      <c r="D40" s="19" t="s">
        <v>81</v>
      </c>
      <c r="E40" s="19" t="s">
        <v>204</v>
      </c>
      <c r="F40" s="19" t="s">
        <v>23</v>
      </c>
      <c r="G40" s="19" t="s">
        <v>181</v>
      </c>
      <c r="H40" s="20">
        <v>38754</v>
      </c>
      <c r="I40" s="21">
        <v>24.5</v>
      </c>
      <c r="J40" s="22">
        <v>38756</v>
      </c>
      <c r="K40" s="23">
        <v>7730</v>
      </c>
      <c r="L40" s="23">
        <v>9017</v>
      </c>
      <c r="M40" s="24">
        <v>58800000</v>
      </c>
      <c r="N40" s="24">
        <v>470400000</v>
      </c>
      <c r="O40" s="24">
        <v>529200000</v>
      </c>
      <c r="P40" s="24">
        <v>241027509.56458369</v>
      </c>
      <c r="Q40" s="163">
        <v>7.7384722222222216E-2</v>
      </c>
      <c r="R40" s="163">
        <v>0.22933722222222222</v>
      </c>
      <c r="S40" s="163">
        <v>0.68627736111111115</v>
      </c>
      <c r="T40" s="164">
        <v>7.0006944444444448E-3</v>
      </c>
      <c r="U40" s="6"/>
    </row>
    <row r="41" spans="2:21" ht="12.5" x14ac:dyDescent="0.25">
      <c r="B41" s="40" t="s">
        <v>226</v>
      </c>
      <c r="C41" s="41" t="s">
        <v>179</v>
      </c>
      <c r="D41" s="19" t="s">
        <v>82</v>
      </c>
      <c r="E41" s="19" t="s">
        <v>202</v>
      </c>
      <c r="F41" s="19" t="s">
        <v>24</v>
      </c>
      <c r="G41" s="19" t="s">
        <v>181</v>
      </c>
      <c r="H41" s="20">
        <v>38761</v>
      </c>
      <c r="I41" s="21">
        <v>25</v>
      </c>
      <c r="J41" s="22">
        <v>38763</v>
      </c>
      <c r="K41" s="23">
        <v>3348</v>
      </c>
      <c r="L41" s="23">
        <v>3989</v>
      </c>
      <c r="M41" s="24">
        <v>762500000</v>
      </c>
      <c r="N41" s="24">
        <v>250000000</v>
      </c>
      <c r="O41" s="24">
        <v>1012500000</v>
      </c>
      <c r="P41" s="24">
        <v>472358292.51224631</v>
      </c>
      <c r="Q41" s="163">
        <v>7.2594839506172834E-2</v>
      </c>
      <c r="R41" s="163">
        <v>0.12092846913580246</v>
      </c>
      <c r="S41" s="163">
        <v>0.80292745679012345</v>
      </c>
      <c r="T41" s="164">
        <v>3.5492345679012344E-3</v>
      </c>
      <c r="U41" s="6"/>
    </row>
    <row r="42" spans="2:21" ht="12.5" x14ac:dyDescent="0.25">
      <c r="B42" s="40" t="s">
        <v>227</v>
      </c>
      <c r="C42" s="41" t="s">
        <v>179</v>
      </c>
      <c r="D42" s="19" t="s">
        <v>82</v>
      </c>
      <c r="E42" s="19" t="s">
        <v>194</v>
      </c>
      <c r="F42" s="19" t="s">
        <v>23</v>
      </c>
      <c r="G42" s="19" t="s">
        <v>181</v>
      </c>
      <c r="H42" s="20">
        <v>38764</v>
      </c>
      <c r="I42" s="21">
        <v>18.5</v>
      </c>
      <c r="J42" s="22">
        <v>38765</v>
      </c>
      <c r="K42" s="23">
        <v>13753</v>
      </c>
      <c r="L42" s="23">
        <v>15560</v>
      </c>
      <c r="M42" s="24">
        <v>494394000</v>
      </c>
      <c r="N42" s="24">
        <v>432594750</v>
      </c>
      <c r="O42" s="24">
        <v>926988750</v>
      </c>
      <c r="P42" s="24">
        <v>437547790.99405271</v>
      </c>
      <c r="Q42" s="163">
        <v>8.964815646360326E-2</v>
      </c>
      <c r="R42" s="163">
        <v>0.17935019707628599</v>
      </c>
      <c r="S42" s="163">
        <v>0.72243095345008235</v>
      </c>
      <c r="T42" s="164">
        <v>8.5706930100284389E-3</v>
      </c>
      <c r="U42" s="6"/>
    </row>
    <row r="43" spans="2:21" ht="12.5" x14ac:dyDescent="0.25">
      <c r="B43" s="40" t="s">
        <v>228</v>
      </c>
      <c r="C43" s="41" t="s">
        <v>179</v>
      </c>
      <c r="D43" s="19" t="s">
        <v>82</v>
      </c>
      <c r="E43" s="19" t="s">
        <v>229</v>
      </c>
      <c r="F43" s="19" t="s">
        <v>23</v>
      </c>
      <c r="G43" s="19" t="s">
        <v>181</v>
      </c>
      <c r="H43" s="20">
        <v>38771</v>
      </c>
      <c r="I43" s="21">
        <v>16</v>
      </c>
      <c r="J43" s="22">
        <v>38778</v>
      </c>
      <c r="K43" s="23">
        <v>12903</v>
      </c>
      <c r="L43" s="23">
        <v>13701</v>
      </c>
      <c r="M43" s="24">
        <v>208000000</v>
      </c>
      <c r="N43" s="24">
        <v>73600000</v>
      </c>
      <c r="O43" s="24">
        <v>281600000</v>
      </c>
      <c r="P43" s="24">
        <v>133245008.04391029</v>
      </c>
      <c r="Q43" s="163">
        <v>9.2559488636363638E-2</v>
      </c>
      <c r="R43" s="163">
        <v>0.26853977272727275</v>
      </c>
      <c r="S43" s="163">
        <v>0.63618750000000002</v>
      </c>
      <c r="T43" s="164">
        <v>2.7132386363636365E-3</v>
      </c>
      <c r="U43" s="6"/>
    </row>
    <row r="44" spans="2:21" ht="12.5" x14ac:dyDescent="0.25">
      <c r="B44" s="40" t="s">
        <v>230</v>
      </c>
      <c r="C44" s="41" t="s">
        <v>179</v>
      </c>
      <c r="D44" s="19" t="s">
        <v>83</v>
      </c>
      <c r="E44" s="19" t="s">
        <v>204</v>
      </c>
      <c r="F44" s="19" t="s">
        <v>23</v>
      </c>
      <c r="G44" s="19" t="s">
        <v>181</v>
      </c>
      <c r="H44" s="20">
        <v>38783</v>
      </c>
      <c r="I44" s="21">
        <v>32</v>
      </c>
      <c r="J44" s="22">
        <v>38785</v>
      </c>
      <c r="K44" s="23">
        <v>16017</v>
      </c>
      <c r="L44" s="23">
        <v>17600</v>
      </c>
      <c r="M44" s="24">
        <v>344800000</v>
      </c>
      <c r="N44" s="24">
        <v>115200000</v>
      </c>
      <c r="O44" s="24">
        <v>460000000</v>
      </c>
      <c r="P44" s="24">
        <v>212962962.96296296</v>
      </c>
      <c r="Q44" s="163">
        <v>8.8108173913043472E-2</v>
      </c>
      <c r="R44" s="163">
        <v>0.21268459130434783</v>
      </c>
      <c r="S44" s="163">
        <v>0.69445808695652178</v>
      </c>
      <c r="T44" s="164">
        <v>4.7491478260869562E-3</v>
      </c>
      <c r="U44" s="6"/>
    </row>
    <row r="45" spans="2:21" ht="12.5" x14ac:dyDescent="0.25">
      <c r="B45" s="40" t="s">
        <v>213</v>
      </c>
      <c r="C45" s="41" t="s">
        <v>184</v>
      </c>
      <c r="D45" s="19" t="s">
        <v>61</v>
      </c>
      <c r="E45" s="19" t="s">
        <v>187</v>
      </c>
      <c r="F45" s="19" t="s">
        <v>24</v>
      </c>
      <c r="G45" s="19" t="s">
        <v>181</v>
      </c>
      <c r="H45" s="20">
        <v>38785</v>
      </c>
      <c r="I45" s="21">
        <v>42</v>
      </c>
      <c r="J45" s="22">
        <v>38786</v>
      </c>
      <c r="K45" s="23">
        <v>3510</v>
      </c>
      <c r="L45" s="23">
        <v>3891</v>
      </c>
      <c r="M45" s="24">
        <v>273162918</v>
      </c>
      <c r="N45" s="24">
        <v>1285960116</v>
      </c>
      <c r="O45" s="24">
        <v>1559123034</v>
      </c>
      <c r="P45" s="24">
        <v>728562165.42056072</v>
      </c>
      <c r="Q45" s="163">
        <v>3.5161401866052801E-2</v>
      </c>
      <c r="R45" s="163">
        <v>0.19000637598312647</v>
      </c>
      <c r="S45" s="163">
        <v>0.77077014116993636</v>
      </c>
      <c r="T45" s="164">
        <v>4.0620809808843417E-3</v>
      </c>
      <c r="U45" s="6"/>
    </row>
    <row r="46" spans="2:21" ht="12.5" x14ac:dyDescent="0.25">
      <c r="B46" s="40" t="s">
        <v>197</v>
      </c>
      <c r="C46" s="41" t="s">
        <v>179</v>
      </c>
      <c r="D46" s="19" t="s">
        <v>68</v>
      </c>
      <c r="E46" s="19" t="s">
        <v>180</v>
      </c>
      <c r="F46" s="19" t="s">
        <v>24</v>
      </c>
      <c r="G46" s="19" t="s">
        <v>181</v>
      </c>
      <c r="H46" s="20">
        <v>38798</v>
      </c>
      <c r="I46" s="21">
        <v>49</v>
      </c>
      <c r="J46" s="22">
        <v>38800</v>
      </c>
      <c r="K46" s="23">
        <v>2063</v>
      </c>
      <c r="L46" s="23">
        <v>2308</v>
      </c>
      <c r="M46" s="24">
        <v>185955000</v>
      </c>
      <c r="N46" s="24">
        <v>476428274</v>
      </c>
      <c r="O46" s="24">
        <v>662383274</v>
      </c>
      <c r="P46" s="24">
        <v>306658923.14814812</v>
      </c>
      <c r="Q46" s="163">
        <v>3.5627391159034613E-2</v>
      </c>
      <c r="R46" s="163">
        <v>0.10744068697604221</v>
      </c>
      <c r="S46" s="163">
        <v>0.84918803973302015</v>
      </c>
      <c r="T46" s="164">
        <v>7.7438821319029865E-3</v>
      </c>
      <c r="U46" s="6"/>
    </row>
    <row r="47" spans="2:21" ht="12.5" x14ac:dyDescent="0.25">
      <c r="B47" s="40" t="s">
        <v>231</v>
      </c>
      <c r="C47" s="41" t="s">
        <v>184</v>
      </c>
      <c r="D47" s="19" t="s">
        <v>65</v>
      </c>
      <c r="E47" s="19" t="s">
        <v>202</v>
      </c>
      <c r="F47" s="19" t="s">
        <v>23</v>
      </c>
      <c r="G47" s="19" t="s">
        <v>181</v>
      </c>
      <c r="H47" s="20">
        <v>38806</v>
      </c>
      <c r="I47" s="21">
        <v>14.5</v>
      </c>
      <c r="J47" s="22">
        <v>38810</v>
      </c>
      <c r="K47" s="23">
        <v>7365</v>
      </c>
      <c r="L47" s="23">
        <v>7886</v>
      </c>
      <c r="M47" s="24">
        <v>185600000</v>
      </c>
      <c r="N47" s="24">
        <v>354670000</v>
      </c>
      <c r="O47" s="24">
        <v>540270000</v>
      </c>
      <c r="P47" s="24">
        <v>251288372.09302327</v>
      </c>
      <c r="Q47" s="163">
        <v>8.6677482555018781E-2</v>
      </c>
      <c r="R47" s="163">
        <v>0.14472147074610842</v>
      </c>
      <c r="S47" s="163">
        <v>0.7664336822329576</v>
      </c>
      <c r="T47" s="164">
        <v>2.1673644659151907E-3</v>
      </c>
      <c r="U47" s="6"/>
    </row>
    <row r="48" spans="2:21" ht="12.5" x14ac:dyDescent="0.25">
      <c r="B48" s="40" t="s">
        <v>232</v>
      </c>
      <c r="C48" s="41" t="s">
        <v>184</v>
      </c>
      <c r="D48" s="19" t="s">
        <v>84</v>
      </c>
      <c r="E48" s="19" t="s">
        <v>211</v>
      </c>
      <c r="F48" s="19" t="s">
        <v>24</v>
      </c>
      <c r="G48" s="19" t="s">
        <v>181</v>
      </c>
      <c r="H48" s="20">
        <v>38818</v>
      </c>
      <c r="I48" s="21">
        <v>22</v>
      </c>
      <c r="J48" s="22">
        <v>38820</v>
      </c>
      <c r="K48" s="23">
        <v>5976</v>
      </c>
      <c r="L48" s="23">
        <v>6226</v>
      </c>
      <c r="M48" s="24">
        <v>66000000</v>
      </c>
      <c r="N48" s="24">
        <v>116599230</v>
      </c>
      <c r="O48" s="24">
        <v>182599230</v>
      </c>
      <c r="P48" s="24">
        <v>85326742.9906542</v>
      </c>
      <c r="Q48" s="163">
        <v>8.3145727260507118E-2</v>
      </c>
      <c r="R48" s="163">
        <v>0.16557334615865185</v>
      </c>
      <c r="S48" s="163">
        <v>0.74989997325251612</v>
      </c>
      <c r="T48" s="164">
        <v>1.3809533283248906E-3</v>
      </c>
      <c r="U48" s="6"/>
    </row>
    <row r="49" spans="2:21" ht="12.5" x14ac:dyDescent="0.25">
      <c r="B49" s="40" t="s">
        <v>233</v>
      </c>
      <c r="C49" s="41" t="s">
        <v>189</v>
      </c>
      <c r="D49" s="19" t="s">
        <v>85</v>
      </c>
      <c r="E49" s="19" t="s">
        <v>204</v>
      </c>
      <c r="F49" s="19" t="s">
        <v>24</v>
      </c>
      <c r="G49" s="19" t="s">
        <v>181</v>
      </c>
      <c r="H49" s="20">
        <v>38818</v>
      </c>
      <c r="I49" s="21">
        <v>43.5</v>
      </c>
      <c r="J49" s="22">
        <v>38820</v>
      </c>
      <c r="K49" s="23">
        <v>4291</v>
      </c>
      <c r="L49" s="23">
        <v>4842</v>
      </c>
      <c r="M49" s="24">
        <v>195750000</v>
      </c>
      <c r="N49" s="24">
        <v>413250000</v>
      </c>
      <c r="O49" s="24">
        <v>609000000</v>
      </c>
      <c r="P49" s="24">
        <v>284579439.25233644</v>
      </c>
      <c r="Q49" s="163">
        <v>6.1074571428571429E-2</v>
      </c>
      <c r="R49" s="163">
        <v>0.15003042857142856</v>
      </c>
      <c r="S49" s="163">
        <v>0.46428285714285716</v>
      </c>
      <c r="T49" s="164">
        <v>0.32461214285714285</v>
      </c>
      <c r="U49" s="6"/>
    </row>
    <row r="50" spans="2:21" ht="12.5" x14ac:dyDescent="0.25">
      <c r="B50" s="40" t="s">
        <v>208</v>
      </c>
      <c r="C50" s="41" t="s">
        <v>179</v>
      </c>
      <c r="D50" s="19" t="s">
        <v>74</v>
      </c>
      <c r="E50" s="19" t="s">
        <v>202</v>
      </c>
      <c r="F50" s="19" t="s">
        <v>24</v>
      </c>
      <c r="G50" s="19" t="s">
        <v>181</v>
      </c>
      <c r="H50" s="20">
        <v>38819</v>
      </c>
      <c r="I50" s="21">
        <v>53.75</v>
      </c>
      <c r="J50" s="22">
        <v>38824</v>
      </c>
      <c r="K50" s="23">
        <v>0</v>
      </c>
      <c r="L50" s="23">
        <v>140</v>
      </c>
      <c r="M50" s="24">
        <v>291506030</v>
      </c>
      <c r="N50" s="24">
        <v>637570890</v>
      </c>
      <c r="O50" s="24">
        <v>929076920</v>
      </c>
      <c r="P50" s="24">
        <v>435450374.95313084</v>
      </c>
      <c r="Q50" s="163">
        <v>3.3927445066147307E-4</v>
      </c>
      <c r="R50" s="163">
        <v>9.9578086343737576E-2</v>
      </c>
      <c r="S50" s="163">
        <v>0.8999848821604951</v>
      </c>
      <c r="T50" s="164">
        <v>9.7757045105848167E-5</v>
      </c>
      <c r="U50" s="6"/>
    </row>
    <row r="51" spans="2:21" ht="12.5" x14ac:dyDescent="0.25">
      <c r="B51" s="40" t="s">
        <v>212</v>
      </c>
      <c r="C51" s="41" t="s">
        <v>179</v>
      </c>
      <c r="D51" s="19" t="s">
        <v>76</v>
      </c>
      <c r="E51" s="19" t="s">
        <v>187</v>
      </c>
      <c r="F51" s="19" t="s">
        <v>24</v>
      </c>
      <c r="G51" s="19" t="s">
        <v>181</v>
      </c>
      <c r="H51" s="20">
        <v>38826</v>
      </c>
      <c r="I51" s="21">
        <v>41</v>
      </c>
      <c r="J51" s="22">
        <v>38827</v>
      </c>
      <c r="K51" s="23">
        <v>2514</v>
      </c>
      <c r="L51" s="23">
        <v>2959</v>
      </c>
      <c r="M51" s="24">
        <v>156825000</v>
      </c>
      <c r="N51" s="24">
        <v>237214274</v>
      </c>
      <c r="O51" s="24">
        <v>394039274</v>
      </c>
      <c r="P51" s="24">
        <v>185552492.93652287</v>
      </c>
      <c r="Q51" s="163">
        <v>8.3502224704636932E-2</v>
      </c>
      <c r="R51" s="163">
        <v>0.17417925452781136</v>
      </c>
      <c r="S51" s="163">
        <v>0.7360311627211048</v>
      </c>
      <c r="T51" s="164">
        <v>6.287358046446913E-3</v>
      </c>
      <c r="U51" s="6"/>
    </row>
    <row r="52" spans="2:21" ht="12.5" x14ac:dyDescent="0.25">
      <c r="B52" s="40" t="s">
        <v>234</v>
      </c>
      <c r="C52" s="41" t="s">
        <v>179</v>
      </c>
      <c r="D52" s="19" t="s">
        <v>86</v>
      </c>
      <c r="E52" s="19" t="s">
        <v>180</v>
      </c>
      <c r="F52" s="19" t="s">
        <v>23</v>
      </c>
      <c r="G52" s="19" t="s">
        <v>181</v>
      </c>
      <c r="H52" s="20">
        <v>38832</v>
      </c>
      <c r="I52" s="21">
        <v>17</v>
      </c>
      <c r="J52" s="22">
        <v>38834</v>
      </c>
      <c r="K52" s="23">
        <v>15132</v>
      </c>
      <c r="L52" s="23">
        <v>16861</v>
      </c>
      <c r="M52" s="24">
        <v>0</v>
      </c>
      <c r="N52" s="24">
        <v>480434790</v>
      </c>
      <c r="O52" s="24">
        <v>480434790</v>
      </c>
      <c r="P52" s="24">
        <v>227694213.2701422</v>
      </c>
      <c r="Q52" s="163">
        <v>8.4696676923076919E-2</v>
      </c>
      <c r="R52" s="163">
        <v>0.21285553846153846</v>
      </c>
      <c r="S52" s="163">
        <v>0.69714643076923077</v>
      </c>
      <c r="T52" s="164">
        <v>5.3013538461538457E-3</v>
      </c>
      <c r="U52" s="6"/>
    </row>
    <row r="53" spans="2:21" ht="12.5" x14ac:dyDescent="0.25">
      <c r="B53" s="40" t="s">
        <v>235</v>
      </c>
      <c r="C53" s="41" t="s">
        <v>189</v>
      </c>
      <c r="D53" s="19" t="s">
        <v>80</v>
      </c>
      <c r="E53" s="19" t="s">
        <v>211</v>
      </c>
      <c r="F53" s="19" t="s">
        <v>24</v>
      </c>
      <c r="G53" s="19" t="s">
        <v>181</v>
      </c>
      <c r="H53" s="20">
        <v>38833</v>
      </c>
      <c r="I53" s="21">
        <v>8.25</v>
      </c>
      <c r="J53" s="22">
        <v>38835</v>
      </c>
      <c r="K53" s="23">
        <v>4084</v>
      </c>
      <c r="L53" s="23">
        <v>4335</v>
      </c>
      <c r="M53" s="24">
        <v>99000000</v>
      </c>
      <c r="N53" s="24">
        <v>136200207</v>
      </c>
      <c r="O53" s="24">
        <v>235200207</v>
      </c>
      <c r="P53" s="24">
        <v>112535984.21052632</v>
      </c>
      <c r="Q53" s="163">
        <v>0.11253085449538529</v>
      </c>
      <c r="R53" s="163">
        <v>0.23322481290916422</v>
      </c>
      <c r="S53" s="163">
        <v>0.53813143054448742</v>
      </c>
      <c r="T53" s="164">
        <v>0.11611290205096311</v>
      </c>
      <c r="U53" s="6"/>
    </row>
    <row r="54" spans="2:21" ht="12.5" x14ac:dyDescent="0.25">
      <c r="B54" s="40" t="s">
        <v>236</v>
      </c>
      <c r="C54" s="41" t="s">
        <v>179</v>
      </c>
      <c r="D54" s="19" t="s">
        <v>86</v>
      </c>
      <c r="E54" s="19" t="s">
        <v>202</v>
      </c>
      <c r="F54" s="19" t="s">
        <v>23</v>
      </c>
      <c r="G54" s="19" t="s">
        <v>181</v>
      </c>
      <c r="H54" s="20">
        <v>38834</v>
      </c>
      <c r="I54" s="21">
        <v>18</v>
      </c>
      <c r="J54" s="22">
        <v>38839</v>
      </c>
      <c r="K54" s="23">
        <v>14362</v>
      </c>
      <c r="L54" s="23">
        <v>15585</v>
      </c>
      <c r="M54" s="24">
        <v>100288746</v>
      </c>
      <c r="N54" s="24">
        <v>240683832</v>
      </c>
      <c r="O54" s="24">
        <v>340972578</v>
      </c>
      <c r="P54" s="24">
        <v>164721052.17391306</v>
      </c>
      <c r="Q54" s="163">
        <v>8.5677526706202378E-2</v>
      </c>
      <c r="R54" s="163">
        <v>0.1551682562704737</v>
      </c>
      <c r="S54" s="163">
        <v>0.72076162534780119</v>
      </c>
      <c r="T54" s="164">
        <v>3.8392591675522794E-2</v>
      </c>
      <c r="U54" s="6"/>
    </row>
    <row r="55" spans="2:21" ht="12.5" x14ac:dyDescent="0.25">
      <c r="B55" s="40" t="s">
        <v>237</v>
      </c>
      <c r="C55" s="41" t="s">
        <v>179</v>
      </c>
      <c r="D55" s="19" t="s">
        <v>87</v>
      </c>
      <c r="E55" s="19" t="s">
        <v>202</v>
      </c>
      <c r="F55" s="19" t="s">
        <v>23</v>
      </c>
      <c r="G55" s="19" t="s">
        <v>181</v>
      </c>
      <c r="H55" s="20">
        <v>38834</v>
      </c>
      <c r="I55" s="21">
        <v>1000</v>
      </c>
      <c r="J55" s="22">
        <v>38839</v>
      </c>
      <c r="K55" s="23">
        <v>3</v>
      </c>
      <c r="L55" s="23">
        <v>39</v>
      </c>
      <c r="M55" s="24">
        <v>583200000</v>
      </c>
      <c r="N55" s="24">
        <v>0</v>
      </c>
      <c r="O55" s="24">
        <v>583200000</v>
      </c>
      <c r="P55" s="24">
        <v>281739130.43478262</v>
      </c>
      <c r="Q55" s="163">
        <v>1.5432098765432098E-3</v>
      </c>
      <c r="R55" s="163">
        <v>3.137860082304527E-2</v>
      </c>
      <c r="S55" s="163">
        <v>0.82407407407407407</v>
      </c>
      <c r="T55" s="164">
        <v>0.14300411522633744</v>
      </c>
      <c r="U55" s="6"/>
    </row>
    <row r="56" spans="2:21" ht="12.5" x14ac:dyDescent="0.25">
      <c r="B56" s="40" t="s">
        <v>238</v>
      </c>
      <c r="C56" s="41" t="s">
        <v>179</v>
      </c>
      <c r="D56" s="19" t="s">
        <v>63</v>
      </c>
      <c r="E56" s="19" t="s">
        <v>187</v>
      </c>
      <c r="F56" s="19" t="s">
        <v>23</v>
      </c>
      <c r="G56" s="19" t="s">
        <v>181</v>
      </c>
      <c r="H56" s="20">
        <v>38848</v>
      </c>
      <c r="I56" s="21">
        <v>22</v>
      </c>
      <c r="J56" s="22">
        <v>38852</v>
      </c>
      <c r="K56" s="23">
        <v>11198</v>
      </c>
      <c r="L56" s="23">
        <v>12203</v>
      </c>
      <c r="M56" s="24">
        <v>155048652</v>
      </c>
      <c r="N56" s="24">
        <v>297691372</v>
      </c>
      <c r="O56" s="24">
        <v>452740024</v>
      </c>
      <c r="P56" s="24">
        <v>207678910.09174311</v>
      </c>
      <c r="Q56" s="163">
        <v>7.5820524797742705E-2</v>
      </c>
      <c r="R56" s="163">
        <v>0.19384417844405805</v>
      </c>
      <c r="S56" s="163">
        <v>0.72849599784880725</v>
      </c>
      <c r="T56" s="164">
        <v>1.8392989093919383E-3</v>
      </c>
      <c r="U56" s="6"/>
    </row>
    <row r="57" spans="2:21" ht="12.5" x14ac:dyDescent="0.25">
      <c r="B57" s="40" t="s">
        <v>239</v>
      </c>
      <c r="C57" s="41" t="s">
        <v>240</v>
      </c>
      <c r="D57" s="19" t="s">
        <v>75</v>
      </c>
      <c r="E57" s="19" t="s">
        <v>202</v>
      </c>
      <c r="F57" s="19" t="s">
        <v>23</v>
      </c>
      <c r="G57" s="19" t="s">
        <v>181</v>
      </c>
      <c r="H57" s="20">
        <v>38867</v>
      </c>
      <c r="I57" s="21">
        <v>34.270000000000003</v>
      </c>
      <c r="J57" s="22">
        <v>38869</v>
      </c>
      <c r="K57" s="23">
        <v>2356</v>
      </c>
      <c r="L57" s="23">
        <v>2524</v>
      </c>
      <c r="M57" s="24">
        <v>705980848.5</v>
      </c>
      <c r="N57" s="24">
        <v>0</v>
      </c>
      <c r="O57" s="24">
        <v>705980848.5</v>
      </c>
      <c r="P57" s="24">
        <v>311004779.07488984</v>
      </c>
      <c r="Q57" s="163">
        <v>3.9467626944223975E-2</v>
      </c>
      <c r="R57" s="163">
        <v>0.17410839460209149</v>
      </c>
      <c r="S57" s="163">
        <v>0.75689507224490482</v>
      </c>
      <c r="T57" s="164">
        <v>2.9528906208779539E-2</v>
      </c>
      <c r="U57" s="6"/>
    </row>
    <row r="58" spans="2:21" ht="12.5" x14ac:dyDescent="0.25">
      <c r="B58" s="40" t="s">
        <v>241</v>
      </c>
      <c r="C58" s="41" t="s">
        <v>179</v>
      </c>
      <c r="D58" s="19" t="s">
        <v>83</v>
      </c>
      <c r="E58" s="19" t="s">
        <v>180</v>
      </c>
      <c r="F58" s="19" t="s">
        <v>23</v>
      </c>
      <c r="G58" s="19" t="s">
        <v>181</v>
      </c>
      <c r="H58" s="20">
        <v>38868</v>
      </c>
      <c r="I58" s="21">
        <v>18</v>
      </c>
      <c r="J58" s="22">
        <v>38870</v>
      </c>
      <c r="K58" s="23">
        <v>5470</v>
      </c>
      <c r="L58" s="23">
        <v>5973</v>
      </c>
      <c r="M58" s="24">
        <v>150697674</v>
      </c>
      <c r="N58" s="24">
        <v>166314834</v>
      </c>
      <c r="O58" s="24">
        <v>317012508</v>
      </c>
      <c r="P58" s="24">
        <v>140271021.23893806</v>
      </c>
      <c r="Q58" s="163">
        <v>0.13531041986984157</v>
      </c>
      <c r="R58" s="163">
        <v>0.13003502633668229</v>
      </c>
      <c r="S58" s="163">
        <v>0.71698253874368112</v>
      </c>
      <c r="T58" s="164">
        <v>1.7672015049795001E-2</v>
      </c>
      <c r="U58" s="6"/>
    </row>
    <row r="59" spans="2:21" ht="12.5" x14ac:dyDescent="0.25">
      <c r="B59" s="40" t="s">
        <v>198</v>
      </c>
      <c r="C59" s="41" t="s">
        <v>179</v>
      </c>
      <c r="D59" s="19" t="s">
        <v>69</v>
      </c>
      <c r="E59" s="19" t="s">
        <v>187</v>
      </c>
      <c r="F59" s="19" t="s">
        <v>24</v>
      </c>
      <c r="G59" s="19" t="s">
        <v>181</v>
      </c>
      <c r="H59" s="20">
        <v>38881</v>
      </c>
      <c r="I59" s="21">
        <v>33.5</v>
      </c>
      <c r="J59" s="22">
        <v>38882</v>
      </c>
      <c r="K59" s="23">
        <v>272</v>
      </c>
      <c r="L59" s="23">
        <v>350</v>
      </c>
      <c r="M59" s="24">
        <v>0</v>
      </c>
      <c r="N59" s="24">
        <v>201000000</v>
      </c>
      <c r="O59" s="24">
        <v>201000000</v>
      </c>
      <c r="P59" s="24">
        <v>87984241.62836507</v>
      </c>
      <c r="Q59" s="163">
        <v>3.1793166666666664E-2</v>
      </c>
      <c r="R59" s="163">
        <v>0.42966833333333332</v>
      </c>
      <c r="S59" s="163">
        <v>0.5383</v>
      </c>
      <c r="T59" s="164">
        <v>2.385E-4</v>
      </c>
      <c r="U59" s="6"/>
    </row>
    <row r="60" spans="2:21" ht="12.5" x14ac:dyDescent="0.25">
      <c r="B60" s="40" t="s">
        <v>242</v>
      </c>
      <c r="C60" s="41" t="s">
        <v>179</v>
      </c>
      <c r="D60" s="19" t="s">
        <v>72</v>
      </c>
      <c r="E60" s="19" t="s">
        <v>243</v>
      </c>
      <c r="F60" s="19" t="s">
        <v>24</v>
      </c>
      <c r="G60" s="19" t="s">
        <v>181</v>
      </c>
      <c r="H60" s="20">
        <v>38894</v>
      </c>
      <c r="I60" s="21">
        <v>43.5</v>
      </c>
      <c r="J60" s="22">
        <v>38896</v>
      </c>
      <c r="K60" s="23">
        <v>48602</v>
      </c>
      <c r="L60" s="23">
        <v>52923</v>
      </c>
      <c r="M60" s="24">
        <v>0</v>
      </c>
      <c r="N60" s="24">
        <v>2273208949.5</v>
      </c>
      <c r="O60" s="24">
        <v>2273208949.5</v>
      </c>
      <c r="P60" s="24">
        <v>1021207973.7196766</v>
      </c>
      <c r="Q60" s="163">
        <v>0.28020221794397787</v>
      </c>
      <c r="R60" s="163">
        <v>0.1857223963476218</v>
      </c>
      <c r="S60" s="163">
        <v>0.5086859678052662</v>
      </c>
      <c r="T60" s="164">
        <v>2.5389417903134117E-2</v>
      </c>
      <c r="U60" s="6"/>
    </row>
    <row r="61" spans="2:21" ht="12.5" x14ac:dyDescent="0.25">
      <c r="B61" s="40" t="s">
        <v>218</v>
      </c>
      <c r="C61" s="41" t="s">
        <v>179</v>
      </c>
      <c r="D61" s="19" t="s">
        <v>78</v>
      </c>
      <c r="E61" s="19" t="s">
        <v>202</v>
      </c>
      <c r="F61" s="19" t="s">
        <v>24</v>
      </c>
      <c r="G61" s="19" t="s">
        <v>181</v>
      </c>
      <c r="H61" s="20">
        <v>38917</v>
      </c>
      <c r="I61" s="21">
        <v>29.5</v>
      </c>
      <c r="J61" s="22">
        <v>38919</v>
      </c>
      <c r="K61" s="23">
        <v>1283</v>
      </c>
      <c r="L61" s="23">
        <v>1778</v>
      </c>
      <c r="M61" s="24">
        <v>728650000</v>
      </c>
      <c r="N61" s="24">
        <v>109297500</v>
      </c>
      <c r="O61" s="24">
        <v>837947500</v>
      </c>
      <c r="P61" s="24">
        <v>386150921.65898621</v>
      </c>
      <c r="Q61" s="163">
        <v>3.8783664847738077E-2</v>
      </c>
      <c r="R61" s="163">
        <v>0.20289628586516459</v>
      </c>
      <c r="S61" s="163">
        <v>0.75482721351874671</v>
      </c>
      <c r="T61" s="164">
        <v>3.4928357683506423E-3</v>
      </c>
      <c r="U61" s="6"/>
    </row>
    <row r="62" spans="2:21" ht="12.5" x14ac:dyDescent="0.25">
      <c r="B62" s="40" t="s">
        <v>244</v>
      </c>
      <c r="C62" s="41" t="s">
        <v>179</v>
      </c>
      <c r="D62" s="19" t="s">
        <v>88</v>
      </c>
      <c r="E62" s="19" t="s">
        <v>187</v>
      </c>
      <c r="F62" s="19" t="s">
        <v>23</v>
      </c>
      <c r="G62" s="19" t="s">
        <v>181</v>
      </c>
      <c r="H62" s="20">
        <v>38918</v>
      </c>
      <c r="I62" s="21">
        <v>815</v>
      </c>
      <c r="J62" s="22">
        <v>38922</v>
      </c>
      <c r="K62" s="23">
        <v>17</v>
      </c>
      <c r="L62" s="23">
        <v>110</v>
      </c>
      <c r="M62" s="24">
        <v>1118895570</v>
      </c>
      <c r="N62" s="24">
        <v>0</v>
      </c>
      <c r="O62" s="24">
        <v>1118895570</v>
      </c>
      <c r="P62" s="24">
        <v>510911219.17808223</v>
      </c>
      <c r="Q62" s="163">
        <v>4.2011655823986317E-3</v>
      </c>
      <c r="R62" s="163">
        <v>0.1100774254155366</v>
      </c>
      <c r="S62" s="163">
        <v>0.75777318940094129</v>
      </c>
      <c r="T62" s="164">
        <v>0.12794821960112343</v>
      </c>
      <c r="U62" s="6"/>
    </row>
    <row r="63" spans="2:21" ht="12.5" x14ac:dyDescent="0.25">
      <c r="B63" s="40" t="s">
        <v>245</v>
      </c>
      <c r="C63" s="41" t="s">
        <v>179</v>
      </c>
      <c r="D63" s="19" t="s">
        <v>82</v>
      </c>
      <c r="E63" s="19" t="s">
        <v>185</v>
      </c>
      <c r="F63" s="19" t="s">
        <v>23</v>
      </c>
      <c r="G63" s="19" t="s">
        <v>181</v>
      </c>
      <c r="H63" s="20">
        <v>38923</v>
      </c>
      <c r="I63" s="21">
        <v>25</v>
      </c>
      <c r="J63" s="22">
        <v>38925</v>
      </c>
      <c r="K63" s="23">
        <v>6</v>
      </c>
      <c r="L63" s="23">
        <v>37</v>
      </c>
      <c r="M63" s="24">
        <v>163770250</v>
      </c>
      <c r="N63" s="24">
        <v>0</v>
      </c>
      <c r="O63" s="24">
        <v>163770250</v>
      </c>
      <c r="P63" s="24">
        <v>74780936.073059365</v>
      </c>
      <c r="Q63" s="163">
        <v>1.1062237531129828E-2</v>
      </c>
      <c r="R63" s="163">
        <v>3.5952271976171943E-2</v>
      </c>
      <c r="S63" s="163">
        <v>0.83197014302090344</v>
      </c>
      <c r="T63" s="164">
        <v>0.12101534747179475</v>
      </c>
      <c r="U63" s="6"/>
    </row>
    <row r="64" spans="2:21" ht="12.5" x14ac:dyDescent="0.25">
      <c r="B64" s="40" t="s">
        <v>246</v>
      </c>
      <c r="C64" s="41" t="s">
        <v>189</v>
      </c>
      <c r="D64" s="19" t="s">
        <v>65</v>
      </c>
      <c r="E64" s="19" t="s">
        <v>180</v>
      </c>
      <c r="F64" s="19" t="s">
        <v>24</v>
      </c>
      <c r="G64" s="19" t="s">
        <v>181</v>
      </c>
      <c r="H64" s="20">
        <v>38925</v>
      </c>
      <c r="I64" s="21">
        <v>1.4500000000000001E-2</v>
      </c>
      <c r="J64" s="22">
        <v>38926</v>
      </c>
      <c r="K64" s="23">
        <v>3036</v>
      </c>
      <c r="L64" s="23">
        <v>4049</v>
      </c>
      <c r="M64" s="24">
        <v>3199999999.9794998</v>
      </c>
      <c r="N64" s="24">
        <v>0</v>
      </c>
      <c r="O64" s="24">
        <v>3199999999.9794998</v>
      </c>
      <c r="P64" s="24">
        <v>1474654377.8707373</v>
      </c>
      <c r="Q64" s="163">
        <v>2.415954203140477E-2</v>
      </c>
      <c r="R64" s="163">
        <v>0.25403699986100237</v>
      </c>
      <c r="S64" s="163">
        <v>0.30451281029882576</v>
      </c>
      <c r="T64" s="164">
        <v>0.41729064780876701</v>
      </c>
      <c r="U64" s="6"/>
    </row>
    <row r="65" spans="2:21" ht="12.5" x14ac:dyDescent="0.25">
      <c r="B65" s="40" t="s">
        <v>247</v>
      </c>
      <c r="C65" s="41" t="s">
        <v>179</v>
      </c>
      <c r="D65" s="19" t="s">
        <v>68</v>
      </c>
      <c r="E65" s="19" t="s">
        <v>202</v>
      </c>
      <c r="F65" s="19" t="s">
        <v>23</v>
      </c>
      <c r="G65" s="19" t="s">
        <v>181</v>
      </c>
      <c r="H65" s="20">
        <v>38980</v>
      </c>
      <c r="I65" s="21">
        <v>21.5</v>
      </c>
      <c r="J65" s="22">
        <v>38982</v>
      </c>
      <c r="K65" s="23">
        <v>3061</v>
      </c>
      <c r="L65" s="23">
        <v>3596</v>
      </c>
      <c r="M65" s="24">
        <v>474075000</v>
      </c>
      <c r="N65" s="24">
        <v>268212328</v>
      </c>
      <c r="O65" s="24">
        <v>742287328</v>
      </c>
      <c r="P65" s="24">
        <v>335876619.00452489</v>
      </c>
      <c r="Q65" s="163">
        <v>6.8844331665594588E-2</v>
      </c>
      <c r="R65" s="163">
        <v>0.16694425302111585</v>
      </c>
      <c r="S65" s="163">
        <v>0.75879727937373598</v>
      </c>
      <c r="T65" s="164">
        <v>5.4141359395535847E-3</v>
      </c>
      <c r="U65" s="6"/>
    </row>
    <row r="66" spans="2:21" ht="12.5" x14ac:dyDescent="0.25">
      <c r="B66" s="40" t="s">
        <v>248</v>
      </c>
      <c r="C66" s="41" t="s">
        <v>184</v>
      </c>
      <c r="D66" s="19" t="s">
        <v>65</v>
      </c>
      <c r="E66" s="19" t="s">
        <v>202</v>
      </c>
      <c r="F66" s="19" t="s">
        <v>24</v>
      </c>
      <c r="G66" s="19" t="s">
        <v>181</v>
      </c>
      <c r="H66" s="20">
        <v>38981</v>
      </c>
      <c r="I66" s="21">
        <v>8.5000000000000006E-2</v>
      </c>
      <c r="J66" s="22">
        <v>38985</v>
      </c>
      <c r="K66" s="23">
        <v>3660</v>
      </c>
      <c r="L66" s="23">
        <v>4478</v>
      </c>
      <c r="M66" s="24">
        <v>0</v>
      </c>
      <c r="N66" s="24">
        <v>1345481065</v>
      </c>
      <c r="O66" s="24">
        <v>1345481065</v>
      </c>
      <c r="P66" s="24">
        <v>608814961.53846157</v>
      </c>
      <c r="Q66" s="163">
        <v>8.8191378598107578E-2</v>
      </c>
      <c r="R66" s="163">
        <v>0.3037705831296853</v>
      </c>
      <c r="S66" s="163">
        <v>0.60090558189683629</v>
      </c>
      <c r="T66" s="164">
        <v>7.1324563753708417E-3</v>
      </c>
      <c r="U66" s="6"/>
    </row>
    <row r="67" spans="2:21" ht="12.5" x14ac:dyDescent="0.25">
      <c r="B67" s="40" t="s">
        <v>249</v>
      </c>
      <c r="C67" s="41" t="s">
        <v>179</v>
      </c>
      <c r="D67" s="19" t="s">
        <v>82</v>
      </c>
      <c r="E67" s="19" t="s">
        <v>250</v>
      </c>
      <c r="F67" s="19" t="s">
        <v>23</v>
      </c>
      <c r="G67" s="19" t="s">
        <v>181</v>
      </c>
      <c r="H67" s="20">
        <v>38995</v>
      </c>
      <c r="I67" s="21">
        <v>15</v>
      </c>
      <c r="J67" s="22">
        <v>38999</v>
      </c>
      <c r="K67" s="23">
        <v>4624</v>
      </c>
      <c r="L67" s="23">
        <v>5131</v>
      </c>
      <c r="M67" s="24">
        <v>360573750</v>
      </c>
      <c r="N67" s="24">
        <v>166773750</v>
      </c>
      <c r="O67" s="24">
        <v>527347500</v>
      </c>
      <c r="P67" s="24">
        <v>244142361.1111111</v>
      </c>
      <c r="Q67" s="163">
        <v>8.6502840220756494E-2</v>
      </c>
      <c r="R67" s="163">
        <v>0.2590074034190335</v>
      </c>
      <c r="S67" s="163">
        <v>0.65090281329923272</v>
      </c>
      <c r="T67" s="164">
        <v>3.5869430609772514E-3</v>
      </c>
      <c r="U67" s="6"/>
    </row>
    <row r="68" spans="2:21" ht="12.5" x14ac:dyDescent="0.25">
      <c r="B68" s="40" t="s">
        <v>251</v>
      </c>
      <c r="C68" s="41" t="s">
        <v>184</v>
      </c>
      <c r="D68" s="19" t="s">
        <v>89</v>
      </c>
      <c r="E68" s="19" t="s">
        <v>202</v>
      </c>
      <c r="F68" s="19" t="s">
        <v>23</v>
      </c>
      <c r="G68" s="19" t="s">
        <v>181</v>
      </c>
      <c r="H68" s="20">
        <v>39000</v>
      </c>
      <c r="I68" s="21">
        <v>23</v>
      </c>
      <c r="J68" s="22">
        <v>39003</v>
      </c>
      <c r="K68" s="23">
        <v>4209</v>
      </c>
      <c r="L68" s="23">
        <v>4873</v>
      </c>
      <c r="M68" s="24">
        <v>924968759</v>
      </c>
      <c r="N68" s="24">
        <v>8433341</v>
      </c>
      <c r="O68" s="24">
        <v>933402100</v>
      </c>
      <c r="P68" s="24">
        <v>436169205.60747659</v>
      </c>
      <c r="Q68" s="163">
        <v>8.4064428925433657E-2</v>
      </c>
      <c r="R68" s="163">
        <v>0.1400592120083945</v>
      </c>
      <c r="S68" s="163">
        <v>0.77116885026262438</v>
      </c>
      <c r="T68" s="164">
        <v>4.7075088035475037E-3</v>
      </c>
      <c r="U68" s="6"/>
    </row>
    <row r="69" spans="2:21" ht="12.5" x14ac:dyDescent="0.25">
      <c r="B69" s="40" t="s">
        <v>252</v>
      </c>
      <c r="C69" s="41" t="s">
        <v>179</v>
      </c>
      <c r="D69" s="19" t="s">
        <v>73</v>
      </c>
      <c r="E69" s="19" t="s">
        <v>187</v>
      </c>
      <c r="F69" s="19" t="s">
        <v>23</v>
      </c>
      <c r="G69" s="19" t="s">
        <v>181</v>
      </c>
      <c r="H69" s="20">
        <v>39006</v>
      </c>
      <c r="I69" s="21">
        <v>21</v>
      </c>
      <c r="J69" s="22">
        <v>39008</v>
      </c>
      <c r="K69" s="23">
        <v>3363</v>
      </c>
      <c r="L69" s="23">
        <v>3737</v>
      </c>
      <c r="M69" s="24">
        <v>0</v>
      </c>
      <c r="N69" s="24">
        <v>410766300</v>
      </c>
      <c r="O69" s="24">
        <v>410766300</v>
      </c>
      <c r="P69" s="24">
        <v>192848028.1690141</v>
      </c>
      <c r="Q69" s="163">
        <v>8.4262434984598289E-2</v>
      </c>
      <c r="R69" s="163">
        <v>0.20212790991263949</v>
      </c>
      <c r="S69" s="163">
        <v>0.70858203302529921</v>
      </c>
      <c r="T69" s="164">
        <v>5.0276220774630107E-3</v>
      </c>
      <c r="U69" s="6"/>
    </row>
    <row r="70" spans="2:21" ht="12.5" x14ac:dyDescent="0.25">
      <c r="B70" s="40" t="s">
        <v>253</v>
      </c>
      <c r="C70" s="41" t="s">
        <v>179</v>
      </c>
      <c r="D70" s="19" t="s">
        <v>82</v>
      </c>
      <c r="E70" s="19" t="s">
        <v>202</v>
      </c>
      <c r="F70" s="19" t="s">
        <v>23</v>
      </c>
      <c r="G70" s="19" t="s">
        <v>181</v>
      </c>
      <c r="H70" s="20">
        <v>39016</v>
      </c>
      <c r="I70" s="21">
        <v>25</v>
      </c>
      <c r="J70" s="22">
        <v>39013</v>
      </c>
      <c r="K70" s="23">
        <v>4272</v>
      </c>
      <c r="L70" s="23">
        <v>4735</v>
      </c>
      <c r="M70" s="24">
        <v>940000000</v>
      </c>
      <c r="N70" s="24">
        <v>248000000</v>
      </c>
      <c r="O70" s="24">
        <v>1188000000</v>
      </c>
      <c r="P70" s="24">
        <v>555140186.91588783</v>
      </c>
      <c r="Q70" s="163">
        <v>7.0529252525252523E-2</v>
      </c>
      <c r="R70" s="163">
        <v>5.0653804713804713E-2</v>
      </c>
      <c r="S70" s="163">
        <v>0.87445925925925927</v>
      </c>
      <c r="T70" s="164">
        <v>4.3576835016835014E-3</v>
      </c>
      <c r="U70" s="6"/>
    </row>
    <row r="71" spans="2:21" ht="12.5" x14ac:dyDescent="0.25">
      <c r="B71" s="40" t="s">
        <v>254</v>
      </c>
      <c r="C71" s="41" t="s">
        <v>179</v>
      </c>
      <c r="D71" s="19" t="s">
        <v>90</v>
      </c>
      <c r="E71" s="19" t="s">
        <v>202</v>
      </c>
      <c r="F71" s="19" t="s">
        <v>23</v>
      </c>
      <c r="G71" s="19" t="s">
        <v>181</v>
      </c>
      <c r="H71" s="20">
        <v>39009</v>
      </c>
      <c r="I71" s="21">
        <v>16</v>
      </c>
      <c r="J71" s="22">
        <v>39016</v>
      </c>
      <c r="K71" s="23">
        <v>4514</v>
      </c>
      <c r="L71" s="23">
        <v>4995</v>
      </c>
      <c r="M71" s="24">
        <v>310500000</v>
      </c>
      <c r="N71" s="24">
        <v>90562500</v>
      </c>
      <c r="O71" s="24">
        <v>401062500</v>
      </c>
      <c r="P71" s="24">
        <v>188292253.52112678</v>
      </c>
      <c r="Q71" s="163">
        <v>8.9045049088359043E-2</v>
      </c>
      <c r="R71" s="163">
        <v>0.20718092566619917</v>
      </c>
      <c r="S71" s="163">
        <v>0.70000706872370266</v>
      </c>
      <c r="T71" s="164">
        <v>3.7669565217391303E-3</v>
      </c>
      <c r="U71" s="6"/>
    </row>
    <row r="72" spans="2:21" ht="12.5" x14ac:dyDescent="0.25">
      <c r="B72" s="40" t="s">
        <v>255</v>
      </c>
      <c r="C72" s="41" t="s">
        <v>179</v>
      </c>
      <c r="D72" s="19" t="s">
        <v>91</v>
      </c>
      <c r="E72" s="19" t="s">
        <v>202</v>
      </c>
      <c r="F72" s="19" t="s">
        <v>24</v>
      </c>
      <c r="G72" s="19" t="s">
        <v>181</v>
      </c>
      <c r="H72" s="20">
        <v>39014</v>
      </c>
      <c r="I72" s="21">
        <v>22.5</v>
      </c>
      <c r="J72" s="22">
        <v>39017</v>
      </c>
      <c r="K72" s="23">
        <v>4212</v>
      </c>
      <c r="L72" s="23">
        <v>4917</v>
      </c>
      <c r="M72" s="24">
        <v>800000000</v>
      </c>
      <c r="N72" s="24">
        <v>0</v>
      </c>
      <c r="O72" s="24">
        <v>800000000</v>
      </c>
      <c r="P72" s="24">
        <v>375586854.46009392</v>
      </c>
      <c r="Q72" s="163">
        <v>7.4491956521739136E-2</v>
      </c>
      <c r="R72" s="163">
        <v>0.14214073369565217</v>
      </c>
      <c r="S72" s="163">
        <v>0.47463559782608694</v>
      </c>
      <c r="T72" s="164">
        <v>0.30873171195652171</v>
      </c>
      <c r="U72" s="6"/>
    </row>
    <row r="73" spans="2:21" ht="12.5" x14ac:dyDescent="0.25">
      <c r="B73" s="40" t="s">
        <v>256</v>
      </c>
      <c r="C73" s="41" t="s">
        <v>184</v>
      </c>
      <c r="D73" s="19" t="s">
        <v>65</v>
      </c>
      <c r="E73" s="19" t="s">
        <v>204</v>
      </c>
      <c r="F73" s="19" t="s">
        <v>23</v>
      </c>
      <c r="G73" s="19" t="s">
        <v>181</v>
      </c>
      <c r="H73" s="20">
        <v>39015</v>
      </c>
      <c r="I73" s="21">
        <v>21</v>
      </c>
      <c r="J73" s="22">
        <v>39017</v>
      </c>
      <c r="K73" s="23">
        <v>6258</v>
      </c>
      <c r="L73" s="23">
        <v>7326</v>
      </c>
      <c r="M73" s="24">
        <v>371360304</v>
      </c>
      <c r="N73" s="24">
        <v>255310209</v>
      </c>
      <c r="O73" s="24">
        <v>626670513</v>
      </c>
      <c r="P73" s="24">
        <v>294211508.45070422</v>
      </c>
      <c r="Q73" s="163">
        <v>7.8950110103552934E-2</v>
      </c>
      <c r="R73" s="163">
        <v>0.23453110677955258</v>
      </c>
      <c r="S73" s="163">
        <v>0.64922140352884294</v>
      </c>
      <c r="T73" s="164">
        <v>3.7297379588051557E-2</v>
      </c>
      <c r="U73" s="6"/>
    </row>
    <row r="74" spans="2:21" ht="12.5" x14ac:dyDescent="0.25">
      <c r="B74" s="40" t="s">
        <v>257</v>
      </c>
      <c r="C74" s="41" t="s">
        <v>179</v>
      </c>
      <c r="D74" s="19" t="s">
        <v>92</v>
      </c>
      <c r="E74" s="19" t="s">
        <v>258</v>
      </c>
      <c r="F74" s="19" t="s">
        <v>23</v>
      </c>
      <c r="G74" s="19" t="s">
        <v>181</v>
      </c>
      <c r="H74" s="20">
        <v>39030</v>
      </c>
      <c r="I74" s="21">
        <v>12</v>
      </c>
      <c r="J74" s="22">
        <v>39043</v>
      </c>
      <c r="K74" s="23">
        <v>9315</v>
      </c>
      <c r="L74" s="23">
        <v>9841</v>
      </c>
      <c r="M74" s="24">
        <v>378932220</v>
      </c>
      <c r="N74" s="24">
        <v>0</v>
      </c>
      <c r="O74" s="24">
        <v>378932220</v>
      </c>
      <c r="P74" s="24">
        <v>175431583.33333331</v>
      </c>
      <c r="Q74" s="163">
        <v>8.6182270104504452E-2</v>
      </c>
      <c r="R74" s="163">
        <v>0.23107584202900358</v>
      </c>
      <c r="S74" s="163">
        <v>0.59089254472689401</v>
      </c>
      <c r="T74" s="164">
        <v>9.1849343139598E-2</v>
      </c>
      <c r="U74" s="6"/>
    </row>
    <row r="75" spans="2:21" ht="12.5" x14ac:dyDescent="0.25">
      <c r="B75" s="40" t="s">
        <v>259</v>
      </c>
      <c r="C75" s="41" t="s">
        <v>179</v>
      </c>
      <c r="D75" s="19" t="s">
        <v>68</v>
      </c>
      <c r="E75" s="19" t="s">
        <v>204</v>
      </c>
      <c r="F75" s="19" t="s">
        <v>23</v>
      </c>
      <c r="G75" s="19" t="s">
        <v>181</v>
      </c>
      <c r="H75" s="20">
        <v>39050</v>
      </c>
      <c r="I75" s="21">
        <v>28</v>
      </c>
      <c r="J75" s="22">
        <v>39052</v>
      </c>
      <c r="K75" s="23">
        <v>8675</v>
      </c>
      <c r="L75" s="23">
        <v>9772</v>
      </c>
      <c r="M75" s="24">
        <v>161913052</v>
      </c>
      <c r="N75" s="24">
        <v>360118192</v>
      </c>
      <c r="O75" s="24">
        <v>522031244</v>
      </c>
      <c r="P75" s="24">
        <v>240900435.62528843</v>
      </c>
      <c r="Q75" s="163">
        <v>8.8629446094992737E-2</v>
      </c>
      <c r="R75" s="163">
        <v>0.25896213215927744</v>
      </c>
      <c r="S75" s="163">
        <v>0.62709251938950994</v>
      </c>
      <c r="T75" s="164">
        <v>2.5315902356219888E-2</v>
      </c>
      <c r="U75" s="6"/>
    </row>
    <row r="76" spans="2:21" ht="12.5" x14ac:dyDescent="0.25">
      <c r="B76" s="40" t="s">
        <v>260</v>
      </c>
      <c r="C76" s="41" t="s">
        <v>179</v>
      </c>
      <c r="D76" s="19" t="s">
        <v>93</v>
      </c>
      <c r="E76" s="19" t="s">
        <v>180</v>
      </c>
      <c r="F76" s="19" t="s">
        <v>23</v>
      </c>
      <c r="G76" s="19" t="s">
        <v>181</v>
      </c>
      <c r="H76" s="20">
        <v>39058</v>
      </c>
      <c r="I76" s="21">
        <v>23.5</v>
      </c>
      <c r="J76" s="22">
        <v>39062</v>
      </c>
      <c r="K76" s="23">
        <v>18466</v>
      </c>
      <c r="L76" s="23">
        <v>19543</v>
      </c>
      <c r="M76" s="24">
        <v>65800000</v>
      </c>
      <c r="N76" s="24">
        <v>538312150</v>
      </c>
      <c r="O76" s="24">
        <v>604112150</v>
      </c>
      <c r="P76" s="24">
        <v>282506617.09689492</v>
      </c>
      <c r="Q76" s="163">
        <v>9.3250077448747151E-2</v>
      </c>
      <c r="R76" s="163">
        <v>0.25465326651480635</v>
      </c>
      <c r="S76" s="163">
        <v>0.64184878359908881</v>
      </c>
      <c r="T76" s="164">
        <v>1.0247872437357631E-2</v>
      </c>
      <c r="U76" s="6"/>
    </row>
    <row r="77" spans="2:21" ht="12.5" x14ac:dyDescent="0.25">
      <c r="B77" s="40" t="s">
        <v>261</v>
      </c>
      <c r="C77" s="41" t="s">
        <v>179</v>
      </c>
      <c r="D77" s="19" t="s">
        <v>87</v>
      </c>
      <c r="E77" s="19" t="s">
        <v>202</v>
      </c>
      <c r="F77" s="19" t="s">
        <v>24</v>
      </c>
      <c r="G77" s="19" t="s">
        <v>181</v>
      </c>
      <c r="H77" s="20">
        <v>39063</v>
      </c>
      <c r="I77" s="21">
        <v>19.5</v>
      </c>
      <c r="J77" s="22">
        <v>39065</v>
      </c>
      <c r="K77" s="23">
        <v>6445</v>
      </c>
      <c r="L77" s="23">
        <v>6821</v>
      </c>
      <c r="M77" s="24">
        <v>341250000</v>
      </c>
      <c r="N77" s="24">
        <v>139670017.5</v>
      </c>
      <c r="O77" s="24">
        <v>480920017.5</v>
      </c>
      <c r="P77" s="24">
        <v>224100660.53122088</v>
      </c>
      <c r="Q77" s="163">
        <v>0.10242878718918334</v>
      </c>
      <c r="R77" s="163">
        <v>0.10451032085040707</v>
      </c>
      <c r="S77" s="163">
        <v>0.74529113628097421</v>
      </c>
      <c r="T77" s="164">
        <v>4.7769755679435436E-2</v>
      </c>
      <c r="U77" s="6"/>
    </row>
    <row r="78" spans="2:21" ht="12.5" x14ac:dyDescent="0.25">
      <c r="B78" s="40" t="s">
        <v>262</v>
      </c>
      <c r="C78" s="41" t="s">
        <v>179</v>
      </c>
      <c r="D78" s="19" t="s">
        <v>87</v>
      </c>
      <c r="E78" s="19" t="s">
        <v>180</v>
      </c>
      <c r="F78" s="19" t="s">
        <v>23</v>
      </c>
      <c r="G78" s="19" t="s">
        <v>181</v>
      </c>
      <c r="H78" s="20">
        <v>39065</v>
      </c>
      <c r="I78" s="21">
        <v>20</v>
      </c>
      <c r="J78" s="22">
        <v>39069</v>
      </c>
      <c r="K78" s="23">
        <v>9803</v>
      </c>
      <c r="L78" s="23">
        <v>10438</v>
      </c>
      <c r="M78" s="24">
        <v>0</v>
      </c>
      <c r="N78" s="24">
        <v>474720000</v>
      </c>
      <c r="O78" s="24">
        <v>474720000</v>
      </c>
      <c r="P78" s="24">
        <v>221108523.52119237</v>
      </c>
      <c r="Q78" s="163">
        <v>0.1081038506909336</v>
      </c>
      <c r="R78" s="163">
        <v>0.17753437815975734</v>
      </c>
      <c r="S78" s="163">
        <v>0.71061151836872261</v>
      </c>
      <c r="T78" s="164">
        <v>3.7502527805864509E-3</v>
      </c>
      <c r="U78" s="6"/>
    </row>
    <row r="79" spans="2:21" ht="13" thickBot="1" x14ac:dyDescent="0.3">
      <c r="B79" s="30" t="s">
        <v>263</v>
      </c>
      <c r="C79" s="31" t="s">
        <v>240</v>
      </c>
      <c r="D79" s="31" t="s">
        <v>74</v>
      </c>
      <c r="E79" s="31" t="s">
        <v>180</v>
      </c>
      <c r="F79" s="31" t="s">
        <v>23</v>
      </c>
      <c r="G79" s="31" t="s">
        <v>181</v>
      </c>
      <c r="H79" s="32">
        <v>39069</v>
      </c>
      <c r="I79" s="33">
        <v>26.84</v>
      </c>
      <c r="J79" s="34">
        <v>39071</v>
      </c>
      <c r="K79" s="35">
        <v>10039</v>
      </c>
      <c r="L79" s="35">
        <v>10805</v>
      </c>
      <c r="M79" s="36">
        <v>0</v>
      </c>
      <c r="N79" s="36">
        <v>849754936.79999995</v>
      </c>
      <c r="O79" s="36">
        <v>849754936.79999995</v>
      </c>
      <c r="P79" s="36">
        <v>394904236.82498366</v>
      </c>
      <c r="Q79" s="165">
        <v>9.8349116646167634E-2</v>
      </c>
      <c r="R79" s="165">
        <v>0.20742772746195359</v>
      </c>
      <c r="S79" s="165">
        <v>0.69013348696557997</v>
      </c>
      <c r="T79" s="166">
        <v>4.0896689262988461E-3</v>
      </c>
      <c r="U79" s="6"/>
    </row>
    <row r="80" spans="2:21" ht="13" thickTop="1" x14ac:dyDescent="0.25">
      <c r="B80" s="40" t="s">
        <v>264</v>
      </c>
      <c r="C80" s="41" t="s">
        <v>179</v>
      </c>
      <c r="D80" s="41" t="s">
        <v>82</v>
      </c>
      <c r="E80" s="41" t="s">
        <v>180</v>
      </c>
      <c r="F80" s="41" t="s">
        <v>23</v>
      </c>
      <c r="G80" s="41" t="s">
        <v>181</v>
      </c>
      <c r="H80" s="42">
        <v>39106</v>
      </c>
      <c r="I80" s="43">
        <v>14</v>
      </c>
      <c r="J80" s="44">
        <v>39108</v>
      </c>
      <c r="K80" s="45">
        <v>11826</v>
      </c>
      <c r="L80" s="45">
        <v>12422</v>
      </c>
      <c r="M80" s="46">
        <v>432263062</v>
      </c>
      <c r="N80" s="46">
        <v>216131538</v>
      </c>
      <c r="O80" s="46">
        <v>648394600</v>
      </c>
      <c r="P80" s="46">
        <v>303555524.34456927</v>
      </c>
      <c r="Q80" s="167">
        <v>9.4026454106280188E-2</v>
      </c>
      <c r="R80" s="167">
        <v>6.179400966183575E-2</v>
      </c>
      <c r="S80" s="167">
        <v>0.8359644444444444</v>
      </c>
      <c r="T80" s="168">
        <v>8.2150917874396143E-3</v>
      </c>
      <c r="U80" s="6"/>
    </row>
    <row r="81" spans="2:21" ht="12.5" x14ac:dyDescent="0.25">
      <c r="B81" s="40" t="s">
        <v>265</v>
      </c>
      <c r="C81" s="41" t="s">
        <v>179</v>
      </c>
      <c r="D81" s="19" t="s">
        <v>82</v>
      </c>
      <c r="E81" s="19" t="s">
        <v>266</v>
      </c>
      <c r="F81" s="19" t="s">
        <v>23</v>
      </c>
      <c r="G81" s="19" t="s">
        <v>181</v>
      </c>
      <c r="H81" s="20">
        <v>39111</v>
      </c>
      <c r="I81" s="21">
        <v>19.5</v>
      </c>
      <c r="J81" s="22">
        <v>39113</v>
      </c>
      <c r="K81" s="23">
        <v>13963</v>
      </c>
      <c r="L81" s="23">
        <v>14782</v>
      </c>
      <c r="M81" s="24">
        <v>448500000</v>
      </c>
      <c r="N81" s="24">
        <v>0</v>
      </c>
      <c r="O81" s="24">
        <v>448500000</v>
      </c>
      <c r="P81" s="24">
        <v>211556603.7735849</v>
      </c>
      <c r="Q81" s="163">
        <v>0.10657260869565217</v>
      </c>
      <c r="R81" s="163">
        <v>0.22176391304347826</v>
      </c>
      <c r="S81" s="163">
        <v>0.66993608695652174</v>
      </c>
      <c r="T81" s="164">
        <v>1.727391304347826E-3</v>
      </c>
      <c r="U81" s="6"/>
    </row>
    <row r="82" spans="2:21" ht="12.5" x14ac:dyDescent="0.25">
      <c r="B82" s="40" t="s">
        <v>267</v>
      </c>
      <c r="C82" s="41" t="s">
        <v>179</v>
      </c>
      <c r="D82" s="19" t="s">
        <v>82</v>
      </c>
      <c r="E82" s="19" t="s">
        <v>202</v>
      </c>
      <c r="F82" s="19" t="s">
        <v>23</v>
      </c>
      <c r="G82" s="19" t="s">
        <v>181</v>
      </c>
      <c r="H82" s="20">
        <v>39111</v>
      </c>
      <c r="I82" s="21">
        <v>14.5</v>
      </c>
      <c r="J82" s="22">
        <v>39113</v>
      </c>
      <c r="K82" s="23">
        <v>22002</v>
      </c>
      <c r="L82" s="23">
        <v>23552</v>
      </c>
      <c r="M82" s="24">
        <v>478500000</v>
      </c>
      <c r="N82" s="24">
        <v>43499985.5</v>
      </c>
      <c r="O82" s="24">
        <v>521999985.5</v>
      </c>
      <c r="P82" s="24">
        <v>245681736.48044431</v>
      </c>
      <c r="Q82" s="163">
        <v>0.1277443026025194</v>
      </c>
      <c r="R82" s="163">
        <v>0.3806971831086276</v>
      </c>
      <c r="S82" s="163">
        <v>0.48324986674516585</v>
      </c>
      <c r="T82" s="164">
        <v>8.3086475436871393E-3</v>
      </c>
      <c r="U82" s="6"/>
    </row>
    <row r="83" spans="2:21" ht="12.5" x14ac:dyDescent="0.25">
      <c r="B83" s="40" t="s">
        <v>268</v>
      </c>
      <c r="C83" s="41" t="s">
        <v>179</v>
      </c>
      <c r="D83" s="19" t="s">
        <v>82</v>
      </c>
      <c r="E83" s="19" t="s">
        <v>202</v>
      </c>
      <c r="F83" s="19" t="s">
        <v>23</v>
      </c>
      <c r="G83" s="19" t="s">
        <v>181</v>
      </c>
      <c r="H83" s="20">
        <v>39112</v>
      </c>
      <c r="I83" s="21">
        <v>13</v>
      </c>
      <c r="J83" s="22">
        <v>39114</v>
      </c>
      <c r="K83" s="23">
        <v>17187</v>
      </c>
      <c r="L83" s="23">
        <v>18216</v>
      </c>
      <c r="M83" s="24">
        <v>590652257</v>
      </c>
      <c r="N83" s="24">
        <v>200650827</v>
      </c>
      <c r="O83" s="24">
        <v>791303084</v>
      </c>
      <c r="P83" s="24">
        <v>372430500.30592555</v>
      </c>
      <c r="Q83" s="163">
        <v>0.10218897778807874</v>
      </c>
      <c r="R83" s="163">
        <v>0.17260137616220186</v>
      </c>
      <c r="S83" s="163">
        <v>0.59367600702446843</v>
      </c>
      <c r="T83" s="164">
        <v>0.131533639025251</v>
      </c>
      <c r="U83" s="6"/>
    </row>
    <row r="84" spans="2:21" ht="12.5" x14ac:dyDescent="0.25">
      <c r="B84" s="40" t="s">
        <v>269</v>
      </c>
      <c r="C84" s="41" t="s">
        <v>179</v>
      </c>
      <c r="D84" s="19" t="s">
        <v>87</v>
      </c>
      <c r="E84" s="19" t="s">
        <v>211</v>
      </c>
      <c r="F84" s="19" t="s">
        <v>23</v>
      </c>
      <c r="G84" s="19" t="s">
        <v>181</v>
      </c>
      <c r="H84" s="20">
        <v>39118</v>
      </c>
      <c r="I84" s="21">
        <v>30</v>
      </c>
      <c r="J84" s="22">
        <v>39120</v>
      </c>
      <c r="K84" s="23">
        <v>16710</v>
      </c>
      <c r="L84" s="23">
        <v>18100</v>
      </c>
      <c r="M84" s="24">
        <v>548677440</v>
      </c>
      <c r="N84" s="24">
        <v>0</v>
      </c>
      <c r="O84" s="24">
        <v>548677440</v>
      </c>
      <c r="P84" s="24">
        <v>263154647.48201439</v>
      </c>
      <c r="Q84" s="163">
        <v>9.1357610766719333E-2</v>
      </c>
      <c r="R84" s="163">
        <v>0.1796770977133669</v>
      </c>
      <c r="S84" s="163">
        <v>0.72439976755741953</v>
      </c>
      <c r="T84" s="164">
        <v>4.5655239624942476E-3</v>
      </c>
      <c r="U84" s="6"/>
    </row>
    <row r="85" spans="2:21" ht="12.5" x14ac:dyDescent="0.25">
      <c r="B85" s="40" t="s">
        <v>270</v>
      </c>
      <c r="C85" s="41" t="s">
        <v>179</v>
      </c>
      <c r="D85" s="19" t="s">
        <v>94</v>
      </c>
      <c r="E85" s="19" t="s">
        <v>266</v>
      </c>
      <c r="F85" s="19" t="s">
        <v>24</v>
      </c>
      <c r="G85" s="19" t="s">
        <v>181</v>
      </c>
      <c r="H85" s="20">
        <v>39119</v>
      </c>
      <c r="I85" s="21">
        <v>21.35</v>
      </c>
      <c r="J85" s="22">
        <v>39121</v>
      </c>
      <c r="K85" s="23">
        <v>3936</v>
      </c>
      <c r="L85" s="23">
        <v>4278</v>
      </c>
      <c r="M85" s="24">
        <v>0</v>
      </c>
      <c r="N85" s="24">
        <v>1789970677.6000001</v>
      </c>
      <c r="O85" s="24">
        <v>1789970677.6000001</v>
      </c>
      <c r="P85" s="24">
        <v>854360497.16004014</v>
      </c>
      <c r="Q85" s="163">
        <v>2.0537318884625285E-2</v>
      </c>
      <c r="R85" s="163">
        <v>9.8686695855179057E-2</v>
      </c>
      <c r="S85" s="163">
        <v>0.88041722781906206</v>
      </c>
      <c r="T85" s="164">
        <v>3.5875744113362677E-4</v>
      </c>
      <c r="U85" s="6"/>
    </row>
    <row r="86" spans="2:21" ht="12.5" x14ac:dyDescent="0.25">
      <c r="B86" s="40" t="s">
        <v>271</v>
      </c>
      <c r="C86" s="41" t="s">
        <v>189</v>
      </c>
      <c r="D86" s="19" t="s">
        <v>95</v>
      </c>
      <c r="E86" s="19" t="s">
        <v>202</v>
      </c>
      <c r="F86" s="19" t="s">
        <v>24</v>
      </c>
      <c r="G86" s="19" t="s">
        <v>181</v>
      </c>
      <c r="H86" s="20">
        <v>39120</v>
      </c>
      <c r="I86" s="21">
        <v>23</v>
      </c>
      <c r="J86" s="22">
        <v>39122</v>
      </c>
      <c r="K86" s="23">
        <v>2866</v>
      </c>
      <c r="L86" s="23">
        <v>3144</v>
      </c>
      <c r="M86" s="24">
        <v>0</v>
      </c>
      <c r="N86" s="24">
        <v>543696011</v>
      </c>
      <c r="O86" s="24">
        <v>543696011</v>
      </c>
      <c r="P86" s="24">
        <v>259508381.9388096</v>
      </c>
      <c r="Q86" s="163">
        <v>9.8276757921180652E-2</v>
      </c>
      <c r="R86" s="163">
        <v>0.3183769796794188</v>
      </c>
      <c r="S86" s="163">
        <v>0.57541731678623453</v>
      </c>
      <c r="T86" s="164">
        <v>7.9289456131660038E-3</v>
      </c>
      <c r="U86" s="6"/>
    </row>
    <row r="87" spans="2:21" ht="12.5" x14ac:dyDescent="0.25">
      <c r="B87" s="40" t="s">
        <v>272</v>
      </c>
      <c r="C87" s="41" t="s">
        <v>179</v>
      </c>
      <c r="D87" s="19" t="s">
        <v>96</v>
      </c>
      <c r="E87" s="19" t="s">
        <v>180</v>
      </c>
      <c r="F87" s="19" t="s">
        <v>23</v>
      </c>
      <c r="G87" s="19" t="s">
        <v>181</v>
      </c>
      <c r="H87" s="20">
        <v>39121</v>
      </c>
      <c r="I87" s="21">
        <v>20</v>
      </c>
      <c r="J87" s="22">
        <v>39125</v>
      </c>
      <c r="K87" s="23">
        <v>24369</v>
      </c>
      <c r="L87" s="23">
        <v>25864</v>
      </c>
      <c r="M87" s="24">
        <v>260000000</v>
      </c>
      <c r="N87" s="24">
        <v>163680000</v>
      </c>
      <c r="O87" s="24">
        <v>423680000</v>
      </c>
      <c r="P87" s="24">
        <v>200416272.46925262</v>
      </c>
      <c r="Q87" s="163">
        <v>0.1025470166163142</v>
      </c>
      <c r="R87" s="163">
        <v>0.28305664652567974</v>
      </c>
      <c r="S87" s="163">
        <v>0.5342703455438067</v>
      </c>
      <c r="T87" s="164">
        <v>8.0125991314199396E-2</v>
      </c>
      <c r="U87" s="6"/>
    </row>
    <row r="88" spans="2:21" ht="12.5" x14ac:dyDescent="0.25">
      <c r="B88" s="40" t="s">
        <v>273</v>
      </c>
      <c r="C88" s="41" t="s">
        <v>179</v>
      </c>
      <c r="D88" s="19" t="s">
        <v>97</v>
      </c>
      <c r="E88" s="19" t="s">
        <v>202</v>
      </c>
      <c r="F88" s="19" t="s">
        <v>23</v>
      </c>
      <c r="G88" s="19" t="s">
        <v>181</v>
      </c>
      <c r="H88" s="20">
        <v>39127</v>
      </c>
      <c r="I88" s="21">
        <v>18</v>
      </c>
      <c r="J88" s="22">
        <v>39129</v>
      </c>
      <c r="K88" s="23">
        <v>14427</v>
      </c>
      <c r="L88" s="23">
        <v>15645</v>
      </c>
      <c r="M88" s="24">
        <v>1076400000</v>
      </c>
      <c r="N88" s="24">
        <v>0</v>
      </c>
      <c r="O88" s="24">
        <v>1076400000</v>
      </c>
      <c r="P88" s="24">
        <v>514703772.77291638</v>
      </c>
      <c r="Q88" s="163">
        <v>9.1264498327759194E-2</v>
      </c>
      <c r="R88" s="163">
        <v>0.14677496655518393</v>
      </c>
      <c r="S88" s="163">
        <v>0.75946956521739128</v>
      </c>
      <c r="T88" s="164">
        <v>2.4909698996655517E-3</v>
      </c>
      <c r="U88" s="6"/>
    </row>
    <row r="89" spans="2:21" ht="12.5" x14ac:dyDescent="0.25">
      <c r="B89" s="40" t="s">
        <v>274</v>
      </c>
      <c r="C89" s="41" t="s">
        <v>184</v>
      </c>
      <c r="D89" s="19" t="s">
        <v>98</v>
      </c>
      <c r="E89" s="19" t="s">
        <v>202</v>
      </c>
      <c r="F89" s="19" t="s">
        <v>23</v>
      </c>
      <c r="G89" s="19" t="s">
        <v>181</v>
      </c>
      <c r="H89" s="20">
        <v>39149</v>
      </c>
      <c r="I89" s="21">
        <v>18</v>
      </c>
      <c r="J89" s="22">
        <v>39153</v>
      </c>
      <c r="K89" s="23">
        <v>13593</v>
      </c>
      <c r="L89" s="23">
        <v>14651</v>
      </c>
      <c r="M89" s="24">
        <v>426825000</v>
      </c>
      <c r="N89" s="24">
        <v>85500000</v>
      </c>
      <c r="O89" s="24">
        <v>512325000</v>
      </c>
      <c r="P89" s="24">
        <v>244979199.54095539</v>
      </c>
      <c r="Q89" s="163">
        <v>9.0977953447518661E-2</v>
      </c>
      <c r="R89" s="163">
        <v>0.1501190689503733</v>
      </c>
      <c r="S89" s="163">
        <v>0.75558208168642949</v>
      </c>
      <c r="T89" s="164">
        <v>3.3208959156785242E-3</v>
      </c>
      <c r="U89" s="6"/>
    </row>
    <row r="90" spans="2:21" ht="12.5" x14ac:dyDescent="0.25">
      <c r="B90" s="40" t="s">
        <v>227</v>
      </c>
      <c r="C90" s="41" t="s">
        <v>179</v>
      </c>
      <c r="D90" s="19" t="s">
        <v>82</v>
      </c>
      <c r="E90" s="19" t="s">
        <v>194</v>
      </c>
      <c r="F90" s="19" t="s">
        <v>24</v>
      </c>
      <c r="G90" s="19" t="s">
        <v>181</v>
      </c>
      <c r="H90" s="20">
        <v>39156</v>
      </c>
      <c r="I90" s="21">
        <v>26</v>
      </c>
      <c r="J90" s="22">
        <v>39157</v>
      </c>
      <c r="K90" s="23">
        <v>5179</v>
      </c>
      <c r="L90" s="23">
        <v>5527</v>
      </c>
      <c r="M90" s="24">
        <v>487811792</v>
      </c>
      <c r="N90" s="24">
        <v>683493174</v>
      </c>
      <c r="O90" s="24">
        <v>1171304966</v>
      </c>
      <c r="P90" s="24">
        <v>560084620.09276533</v>
      </c>
      <c r="Q90" s="163">
        <v>1.7998182075049541E-2</v>
      </c>
      <c r="R90" s="163">
        <v>4.4139026804235468E-2</v>
      </c>
      <c r="S90" s="163">
        <v>0.92686157975286365</v>
      </c>
      <c r="T90" s="164">
        <v>1.1001211367851359E-2</v>
      </c>
      <c r="U90" s="6"/>
    </row>
    <row r="91" spans="2:21" ht="12.5" x14ac:dyDescent="0.25">
      <c r="B91" s="40" t="s">
        <v>275</v>
      </c>
      <c r="C91" s="41" t="s">
        <v>179</v>
      </c>
      <c r="D91" s="19" t="s">
        <v>91</v>
      </c>
      <c r="E91" s="19" t="s">
        <v>266</v>
      </c>
      <c r="F91" s="19" t="s">
        <v>23</v>
      </c>
      <c r="G91" s="19" t="s">
        <v>181</v>
      </c>
      <c r="H91" s="20">
        <v>39168</v>
      </c>
      <c r="I91" s="21">
        <v>8</v>
      </c>
      <c r="J91" s="22">
        <v>39170</v>
      </c>
      <c r="K91" s="23">
        <v>22662</v>
      </c>
      <c r="L91" s="23">
        <v>23690</v>
      </c>
      <c r="M91" s="24">
        <v>1216750400</v>
      </c>
      <c r="N91" s="24">
        <v>400000000</v>
      </c>
      <c r="O91" s="24">
        <v>1616750400</v>
      </c>
      <c r="P91" s="24">
        <v>787122882.18111014</v>
      </c>
      <c r="Q91" s="163">
        <v>8.7549017391304343E-2</v>
      </c>
      <c r="R91" s="163">
        <v>0.13164175217391305</v>
      </c>
      <c r="S91" s="163">
        <v>0.74229666086956525</v>
      </c>
      <c r="T91" s="164">
        <v>3.851256956521739E-2</v>
      </c>
      <c r="U91" s="6"/>
    </row>
    <row r="92" spans="2:21" ht="12.5" x14ac:dyDescent="0.25">
      <c r="B92" s="40" t="s">
        <v>276</v>
      </c>
      <c r="C92" s="41" t="s">
        <v>189</v>
      </c>
      <c r="D92" s="19" t="s">
        <v>72</v>
      </c>
      <c r="E92" s="19" t="s">
        <v>202</v>
      </c>
      <c r="F92" s="19" t="s">
        <v>23</v>
      </c>
      <c r="G92" s="19" t="s">
        <v>181</v>
      </c>
      <c r="H92" s="20">
        <v>39169</v>
      </c>
      <c r="I92" s="21">
        <v>19</v>
      </c>
      <c r="J92" s="22">
        <v>39174</v>
      </c>
      <c r="K92" s="23">
        <v>20007</v>
      </c>
      <c r="L92" s="23">
        <v>20668</v>
      </c>
      <c r="M92" s="24">
        <v>356859900</v>
      </c>
      <c r="N92" s="24">
        <v>160328365</v>
      </c>
      <c r="O92" s="24">
        <v>517188265</v>
      </c>
      <c r="P92" s="24">
        <v>252656700.04885197</v>
      </c>
      <c r="Q92" s="163">
        <v>8.7947833309374349E-2</v>
      </c>
      <c r="R92" s="163">
        <v>0.12637973389557078</v>
      </c>
      <c r="S92" s="163">
        <v>0.7844617055600811</v>
      </c>
      <c r="T92" s="164">
        <v>1.2107272349737249E-3</v>
      </c>
      <c r="U92" s="6"/>
    </row>
    <row r="93" spans="2:21" ht="12.5" x14ac:dyDescent="0.25">
      <c r="B93" s="40" t="s">
        <v>277</v>
      </c>
      <c r="C93" s="41" t="s">
        <v>179</v>
      </c>
      <c r="D93" s="19" t="s">
        <v>82</v>
      </c>
      <c r="E93" s="19" t="s">
        <v>204</v>
      </c>
      <c r="F93" s="19" t="s">
        <v>23</v>
      </c>
      <c r="G93" s="19" t="s">
        <v>181</v>
      </c>
      <c r="H93" s="20">
        <v>39170</v>
      </c>
      <c r="I93" s="21">
        <v>11.5</v>
      </c>
      <c r="J93" s="22">
        <v>39174</v>
      </c>
      <c r="K93" s="23">
        <v>11251</v>
      </c>
      <c r="L93" s="23">
        <v>11634</v>
      </c>
      <c r="M93" s="24">
        <v>460000000</v>
      </c>
      <c r="N93" s="24">
        <v>0</v>
      </c>
      <c r="O93" s="24">
        <v>460000000</v>
      </c>
      <c r="P93" s="24">
        <v>224719101.12359548</v>
      </c>
      <c r="Q93" s="163">
        <v>9.8570649999999996E-2</v>
      </c>
      <c r="R93" s="163">
        <v>0.20146249999999999</v>
      </c>
      <c r="S93" s="163">
        <v>0.52511792499999999</v>
      </c>
      <c r="T93" s="164">
        <v>0.17484892499999999</v>
      </c>
      <c r="U93" s="6"/>
    </row>
    <row r="94" spans="2:21" ht="12.5" x14ac:dyDescent="0.25">
      <c r="B94" s="40" t="s">
        <v>278</v>
      </c>
      <c r="C94" s="41" t="s">
        <v>179</v>
      </c>
      <c r="D94" s="19" t="s">
        <v>87</v>
      </c>
      <c r="E94" s="19" t="s">
        <v>180</v>
      </c>
      <c r="F94" s="19" t="s">
        <v>23</v>
      </c>
      <c r="G94" s="19" t="s">
        <v>181</v>
      </c>
      <c r="H94" s="20">
        <v>39174</v>
      </c>
      <c r="I94" s="21">
        <v>15</v>
      </c>
      <c r="J94" s="22">
        <v>39177</v>
      </c>
      <c r="K94" s="23">
        <v>13777</v>
      </c>
      <c r="L94" s="23">
        <v>14518</v>
      </c>
      <c r="M94" s="24">
        <v>657118665</v>
      </c>
      <c r="N94" s="24">
        <v>0</v>
      </c>
      <c r="O94" s="24">
        <v>657118665</v>
      </c>
      <c r="P94" s="24">
        <v>323703775.86206901</v>
      </c>
      <c r="Q94" s="163">
        <v>0.10142228878442967</v>
      </c>
      <c r="R94" s="163">
        <v>0.21606554127661737</v>
      </c>
      <c r="S94" s="163">
        <v>0.68097424418826791</v>
      </c>
      <c r="T94" s="164">
        <v>1.5379257506850975E-3</v>
      </c>
      <c r="U94" s="6"/>
    </row>
    <row r="95" spans="2:21" ht="12.5" x14ac:dyDescent="0.25">
      <c r="B95" s="40" t="s">
        <v>279</v>
      </c>
      <c r="C95" s="41" t="s">
        <v>179</v>
      </c>
      <c r="D95" s="19" t="s">
        <v>99</v>
      </c>
      <c r="E95" s="19" t="s">
        <v>180</v>
      </c>
      <c r="F95" s="19" t="s">
        <v>23</v>
      </c>
      <c r="G95" s="19" t="s">
        <v>181</v>
      </c>
      <c r="H95" s="20">
        <v>39182</v>
      </c>
      <c r="I95" s="21">
        <v>17</v>
      </c>
      <c r="J95" s="22">
        <v>39184</v>
      </c>
      <c r="K95" s="23">
        <v>9169</v>
      </c>
      <c r="L95" s="23">
        <v>9770</v>
      </c>
      <c r="M95" s="24">
        <v>203163056</v>
      </c>
      <c r="N95" s="24">
        <v>146414302</v>
      </c>
      <c r="O95" s="24">
        <v>349577358</v>
      </c>
      <c r="P95" s="24">
        <v>172205595.07389164</v>
      </c>
      <c r="Q95" s="163">
        <v>0.11210738082184372</v>
      </c>
      <c r="R95" s="163">
        <v>0.23125582406855996</v>
      </c>
      <c r="S95" s="163">
        <v>0.65372355723336062</v>
      </c>
      <c r="T95" s="164">
        <v>2.9132378762356799E-3</v>
      </c>
      <c r="U95" s="6"/>
    </row>
    <row r="96" spans="2:21" ht="12.5" x14ac:dyDescent="0.25">
      <c r="B96" s="40" t="s">
        <v>280</v>
      </c>
      <c r="C96" s="41" t="s">
        <v>179</v>
      </c>
      <c r="D96" s="19" t="s">
        <v>82</v>
      </c>
      <c r="E96" s="19" t="s">
        <v>202</v>
      </c>
      <c r="F96" s="19" t="s">
        <v>23</v>
      </c>
      <c r="G96" s="19" t="s">
        <v>181</v>
      </c>
      <c r="H96" s="20">
        <v>39182</v>
      </c>
      <c r="I96" s="21">
        <v>8</v>
      </c>
      <c r="J96" s="22">
        <v>39184</v>
      </c>
      <c r="K96" s="23">
        <v>4524</v>
      </c>
      <c r="L96" s="23">
        <v>4749</v>
      </c>
      <c r="M96" s="24">
        <v>432400000</v>
      </c>
      <c r="N96" s="24">
        <v>0</v>
      </c>
      <c r="O96" s="24">
        <v>432400000</v>
      </c>
      <c r="P96" s="24">
        <v>213004926.10837442</v>
      </c>
      <c r="Q96" s="163">
        <v>8.6073709528214609E-2</v>
      </c>
      <c r="R96" s="163">
        <v>1.3013876040703053E-2</v>
      </c>
      <c r="S96" s="163">
        <v>0.89260917668825157</v>
      </c>
      <c r="T96" s="164">
        <v>8.3032377428307116E-3</v>
      </c>
      <c r="U96" s="6"/>
    </row>
    <row r="97" spans="2:21" ht="12.5" x14ac:dyDescent="0.25">
      <c r="B97" s="40" t="s">
        <v>281</v>
      </c>
      <c r="C97" s="41" t="s">
        <v>179</v>
      </c>
      <c r="D97" s="19" t="s">
        <v>100</v>
      </c>
      <c r="E97" s="19" t="s">
        <v>180</v>
      </c>
      <c r="F97" s="19" t="s">
        <v>23</v>
      </c>
      <c r="G97" s="19" t="s">
        <v>181</v>
      </c>
      <c r="H97" s="20">
        <v>39183</v>
      </c>
      <c r="I97" s="21">
        <v>19</v>
      </c>
      <c r="J97" s="22">
        <v>39185</v>
      </c>
      <c r="K97" s="23">
        <v>9576</v>
      </c>
      <c r="L97" s="23">
        <v>9970</v>
      </c>
      <c r="M97" s="24">
        <v>302280500</v>
      </c>
      <c r="N97" s="24">
        <v>150670000</v>
      </c>
      <c r="O97" s="24">
        <v>452950500</v>
      </c>
      <c r="P97" s="24">
        <v>224232920.79207921</v>
      </c>
      <c r="Q97" s="163">
        <v>8.5067933471759061E-2</v>
      </c>
      <c r="R97" s="163">
        <v>0.21442144340275593</v>
      </c>
      <c r="S97" s="163">
        <v>0.56849669665890645</v>
      </c>
      <c r="T97" s="164">
        <v>0.13201392646657858</v>
      </c>
      <c r="U97" s="6"/>
    </row>
    <row r="98" spans="2:21" ht="12.5" x14ac:dyDescent="0.25">
      <c r="B98" s="40" t="s">
        <v>282</v>
      </c>
      <c r="C98" s="41" t="s">
        <v>179</v>
      </c>
      <c r="D98" s="19" t="s">
        <v>101</v>
      </c>
      <c r="E98" s="19" t="s">
        <v>204</v>
      </c>
      <c r="F98" s="19" t="s">
        <v>24</v>
      </c>
      <c r="G98" s="19" t="s">
        <v>181</v>
      </c>
      <c r="H98" s="20">
        <v>39183</v>
      </c>
      <c r="I98" s="21">
        <v>15</v>
      </c>
      <c r="J98" s="22">
        <v>39185</v>
      </c>
      <c r="K98" s="23">
        <v>2375</v>
      </c>
      <c r="L98" s="23">
        <v>2668</v>
      </c>
      <c r="M98" s="24">
        <v>242935785</v>
      </c>
      <c r="N98" s="24">
        <v>239571885</v>
      </c>
      <c r="O98" s="24">
        <v>482507670</v>
      </c>
      <c r="P98" s="24">
        <v>238865183.16831684</v>
      </c>
      <c r="Q98" s="163">
        <v>5.3900283077365378E-2</v>
      </c>
      <c r="R98" s="163">
        <v>0.17656817766233643</v>
      </c>
      <c r="S98" s="163">
        <v>0.43783759955567131</v>
      </c>
      <c r="T98" s="164">
        <v>0.33169393970462685</v>
      </c>
      <c r="U98" s="6"/>
    </row>
    <row r="99" spans="2:21" ht="12.5" x14ac:dyDescent="0.25">
      <c r="B99" s="40" t="s">
        <v>283</v>
      </c>
      <c r="C99" s="41" t="s">
        <v>179</v>
      </c>
      <c r="D99" s="19" t="s">
        <v>102</v>
      </c>
      <c r="E99" s="19" t="s">
        <v>204</v>
      </c>
      <c r="F99" s="19" t="s">
        <v>23</v>
      </c>
      <c r="G99" s="19" t="s">
        <v>181</v>
      </c>
      <c r="H99" s="20">
        <v>39189</v>
      </c>
      <c r="I99" s="21">
        <v>15</v>
      </c>
      <c r="J99" s="22">
        <v>39191</v>
      </c>
      <c r="K99" s="23">
        <v>8629</v>
      </c>
      <c r="L99" s="23">
        <v>9331</v>
      </c>
      <c r="M99" s="24">
        <v>270000030</v>
      </c>
      <c r="N99" s="24">
        <v>136630020</v>
      </c>
      <c r="O99" s="24">
        <v>406630050</v>
      </c>
      <c r="P99" s="24">
        <v>201302004.95049503</v>
      </c>
      <c r="Q99" s="163">
        <v>8.8202593487618539E-2</v>
      </c>
      <c r="R99" s="163">
        <v>0.1961198022625234</v>
      </c>
      <c r="S99" s="163">
        <v>0.70451457043078836</v>
      </c>
      <c r="T99" s="164">
        <v>1.1163033819069693E-2</v>
      </c>
      <c r="U99" s="6"/>
    </row>
    <row r="100" spans="2:21" ht="12.5" x14ac:dyDescent="0.25">
      <c r="B100" s="40" t="s">
        <v>284</v>
      </c>
      <c r="C100" s="41" t="s">
        <v>179</v>
      </c>
      <c r="D100" s="19" t="s">
        <v>82</v>
      </c>
      <c r="E100" s="19" t="s">
        <v>192</v>
      </c>
      <c r="F100" s="19" t="s">
        <v>23</v>
      </c>
      <c r="G100" s="19" t="s">
        <v>181</v>
      </c>
      <c r="H100" s="20">
        <v>39191</v>
      </c>
      <c r="I100" s="21">
        <v>20</v>
      </c>
      <c r="J100" s="22">
        <v>39195</v>
      </c>
      <c r="K100" s="23">
        <v>2755</v>
      </c>
      <c r="L100" s="23">
        <v>2926</v>
      </c>
      <c r="M100" s="24">
        <v>307575000</v>
      </c>
      <c r="N100" s="24">
        <v>0</v>
      </c>
      <c r="O100" s="24">
        <v>307575000</v>
      </c>
      <c r="P100" s="24">
        <v>151514778.32512316</v>
      </c>
      <c r="Q100" s="163">
        <v>7.4582784686661796E-2</v>
      </c>
      <c r="R100" s="163">
        <v>0</v>
      </c>
      <c r="S100" s="163">
        <v>0</v>
      </c>
      <c r="T100" s="164">
        <v>0.9254172153133382</v>
      </c>
      <c r="U100" s="6"/>
    </row>
    <row r="101" spans="2:21" ht="12.5" x14ac:dyDescent="0.25">
      <c r="B101" s="40" t="s">
        <v>285</v>
      </c>
      <c r="C101" s="41" t="s">
        <v>179</v>
      </c>
      <c r="D101" s="19" t="s">
        <v>82</v>
      </c>
      <c r="E101" s="19" t="s">
        <v>202</v>
      </c>
      <c r="F101" s="19" t="s">
        <v>23</v>
      </c>
      <c r="G101" s="19" t="s">
        <v>181</v>
      </c>
      <c r="H101" s="20">
        <v>39196</v>
      </c>
      <c r="I101" s="21">
        <v>8.5</v>
      </c>
      <c r="J101" s="22">
        <v>39198</v>
      </c>
      <c r="K101" s="23">
        <v>5328</v>
      </c>
      <c r="L101" s="23">
        <v>5651</v>
      </c>
      <c r="M101" s="24">
        <v>752348515</v>
      </c>
      <c r="N101" s="24">
        <v>33688985</v>
      </c>
      <c r="O101" s="24">
        <v>786037500</v>
      </c>
      <c r="P101" s="24">
        <v>387210591.13300496</v>
      </c>
      <c r="Q101" s="163">
        <v>7.165930251419303E-2</v>
      </c>
      <c r="R101" s="163">
        <v>0.25064001081373344</v>
      </c>
      <c r="S101" s="163">
        <v>0.67498030819140309</v>
      </c>
      <c r="T101" s="164">
        <v>2.7203784806704517E-3</v>
      </c>
      <c r="U101" s="6"/>
    </row>
    <row r="102" spans="2:21" ht="12.5" x14ac:dyDescent="0.25">
      <c r="B102" s="40" t="s">
        <v>286</v>
      </c>
      <c r="C102" s="41" t="s">
        <v>210</v>
      </c>
      <c r="D102" s="19" t="s">
        <v>70</v>
      </c>
      <c r="E102" s="19" t="s">
        <v>194</v>
      </c>
      <c r="F102" s="19" t="s">
        <v>24</v>
      </c>
      <c r="G102" s="19" t="s">
        <v>181</v>
      </c>
      <c r="H102" s="20">
        <v>39197</v>
      </c>
      <c r="I102" s="21">
        <v>110</v>
      </c>
      <c r="J102" s="22">
        <v>39199</v>
      </c>
      <c r="K102" s="23">
        <v>7045</v>
      </c>
      <c r="L102" s="23">
        <v>7789</v>
      </c>
      <c r="M102" s="24">
        <v>0</v>
      </c>
      <c r="N102" s="24">
        <v>2069007490</v>
      </c>
      <c r="O102" s="24">
        <v>2069007490</v>
      </c>
      <c r="P102" s="24">
        <v>1019215512.315271</v>
      </c>
      <c r="Q102" s="163">
        <v>5.8990912585232459E-2</v>
      </c>
      <c r="R102" s="163">
        <v>0.24308114693767627</v>
      </c>
      <c r="S102" s="163">
        <v>0.69470308829783978</v>
      </c>
      <c r="T102" s="164">
        <v>3.2248521792514716E-3</v>
      </c>
      <c r="U102" s="6"/>
    </row>
    <row r="103" spans="2:21" ht="12.5" x14ac:dyDescent="0.25">
      <c r="B103" s="40" t="s">
        <v>287</v>
      </c>
      <c r="C103" s="41" t="s">
        <v>179</v>
      </c>
      <c r="D103" s="19" t="s">
        <v>103</v>
      </c>
      <c r="E103" s="19" t="s">
        <v>194</v>
      </c>
      <c r="F103" s="19" t="s">
        <v>23</v>
      </c>
      <c r="G103" s="19" t="s">
        <v>181</v>
      </c>
      <c r="H103" s="20">
        <v>39198</v>
      </c>
      <c r="I103" s="21">
        <v>17.5</v>
      </c>
      <c r="J103" s="22">
        <v>39202</v>
      </c>
      <c r="K103" s="23">
        <v>9370</v>
      </c>
      <c r="L103" s="23">
        <v>9717</v>
      </c>
      <c r="M103" s="24">
        <v>210000000</v>
      </c>
      <c r="N103" s="24">
        <v>341631500</v>
      </c>
      <c r="O103" s="24">
        <v>551631500</v>
      </c>
      <c r="P103" s="24">
        <v>271739655.17241383</v>
      </c>
      <c r="Q103" s="163">
        <v>8.5369216202125051E-2</v>
      </c>
      <c r="R103" s="163">
        <v>0.15720361125926635</v>
      </c>
      <c r="S103" s="163">
        <v>0.75583284891560343</v>
      </c>
      <c r="T103" s="164">
        <v>1.5943236230051478E-3</v>
      </c>
      <c r="U103" s="6"/>
    </row>
    <row r="104" spans="2:21" ht="12.5" x14ac:dyDescent="0.25">
      <c r="B104" s="40" t="s">
        <v>288</v>
      </c>
      <c r="C104" s="41" t="s">
        <v>240</v>
      </c>
      <c r="D104" s="19" t="s">
        <v>104</v>
      </c>
      <c r="E104" s="19" t="s">
        <v>202</v>
      </c>
      <c r="F104" s="19" t="s">
        <v>23</v>
      </c>
      <c r="G104" s="19" t="s">
        <v>181</v>
      </c>
      <c r="H104" s="20">
        <v>39198</v>
      </c>
      <c r="I104" s="21">
        <v>23.77</v>
      </c>
      <c r="J104" s="22">
        <v>39202</v>
      </c>
      <c r="K104" s="23">
        <v>11775</v>
      </c>
      <c r="L104" s="23">
        <v>12393</v>
      </c>
      <c r="M104" s="24">
        <v>261470000</v>
      </c>
      <c r="N104" s="24">
        <v>444499000</v>
      </c>
      <c r="O104" s="24">
        <v>705969000</v>
      </c>
      <c r="P104" s="24">
        <v>347767980.29556656</v>
      </c>
      <c r="Q104" s="163">
        <v>7.3848552188552186E-2</v>
      </c>
      <c r="R104" s="163">
        <v>0.13604070707070706</v>
      </c>
      <c r="S104" s="163">
        <v>0.74198851851851855</v>
      </c>
      <c r="T104" s="164">
        <v>4.8122222222222226E-2</v>
      </c>
      <c r="U104" s="6"/>
    </row>
    <row r="105" spans="2:21" ht="12.5" x14ac:dyDescent="0.25">
      <c r="B105" s="40" t="s">
        <v>289</v>
      </c>
      <c r="C105" s="41" t="s">
        <v>189</v>
      </c>
      <c r="D105" s="19" t="s">
        <v>72</v>
      </c>
      <c r="E105" s="19" t="s">
        <v>180</v>
      </c>
      <c r="F105" s="19" t="s">
        <v>23</v>
      </c>
      <c r="G105" s="19" t="s">
        <v>181</v>
      </c>
      <c r="H105" s="20">
        <v>39197</v>
      </c>
      <c r="I105" s="21">
        <v>12</v>
      </c>
      <c r="J105" s="22">
        <v>39204</v>
      </c>
      <c r="K105" s="23">
        <v>7238</v>
      </c>
      <c r="L105" s="23">
        <v>7521</v>
      </c>
      <c r="M105" s="24">
        <v>497336256</v>
      </c>
      <c r="N105" s="24">
        <v>7207728</v>
      </c>
      <c r="O105" s="24">
        <v>504543984</v>
      </c>
      <c r="P105" s="24">
        <v>244924264.07766989</v>
      </c>
      <c r="Q105" s="163">
        <v>8.7162256204802946E-2</v>
      </c>
      <c r="R105" s="163">
        <v>0.15108692684362679</v>
      </c>
      <c r="S105" s="163">
        <v>0.7595713360046723</v>
      </c>
      <c r="T105" s="164">
        <v>2.1794809468979816E-3</v>
      </c>
      <c r="U105" s="6"/>
    </row>
    <row r="106" spans="2:21" ht="12.5" x14ac:dyDescent="0.25">
      <c r="B106" s="40" t="s">
        <v>290</v>
      </c>
      <c r="C106" s="41" t="s">
        <v>240</v>
      </c>
      <c r="D106" s="19" t="s">
        <v>105</v>
      </c>
      <c r="E106" s="19" t="s">
        <v>202</v>
      </c>
      <c r="F106" s="19" t="s">
        <v>23</v>
      </c>
      <c r="G106" s="19" t="s">
        <v>181</v>
      </c>
      <c r="H106" s="20">
        <v>39231</v>
      </c>
      <c r="I106" s="21">
        <v>22</v>
      </c>
      <c r="J106" s="22">
        <v>39233</v>
      </c>
      <c r="K106" s="23">
        <v>10631</v>
      </c>
      <c r="L106" s="23">
        <v>10949</v>
      </c>
      <c r="M106" s="24">
        <v>443828000</v>
      </c>
      <c r="N106" s="24">
        <v>0</v>
      </c>
      <c r="O106" s="24">
        <v>443828000</v>
      </c>
      <c r="P106" s="24">
        <v>229962694.30051816</v>
      </c>
      <c r="Q106" s="163">
        <v>8.5689338892197736E-2</v>
      </c>
      <c r="R106" s="163">
        <v>3.1145634306134602E-2</v>
      </c>
      <c r="S106" s="163">
        <v>0.86975580702799282</v>
      </c>
      <c r="T106" s="164">
        <v>1.3409219773674807E-2</v>
      </c>
      <c r="U106" s="6"/>
    </row>
    <row r="107" spans="2:21" ht="12.5" x14ac:dyDescent="0.25">
      <c r="B107" s="40" t="s">
        <v>291</v>
      </c>
      <c r="C107" s="41" t="s">
        <v>179</v>
      </c>
      <c r="D107" s="19" t="s">
        <v>82</v>
      </c>
      <c r="E107" s="19" t="s">
        <v>202</v>
      </c>
      <c r="F107" s="19" t="s">
        <v>23</v>
      </c>
      <c r="G107" s="19" t="s">
        <v>181</v>
      </c>
      <c r="H107" s="20">
        <v>39237</v>
      </c>
      <c r="I107" s="21">
        <v>17.5</v>
      </c>
      <c r="J107" s="22">
        <v>39239</v>
      </c>
      <c r="K107" s="23">
        <v>9532</v>
      </c>
      <c r="L107" s="23">
        <v>10114</v>
      </c>
      <c r="M107" s="24">
        <v>756000000</v>
      </c>
      <c r="N107" s="24">
        <v>0</v>
      </c>
      <c r="O107" s="24">
        <v>756000000</v>
      </c>
      <c r="P107" s="24">
        <v>385714285.71428573</v>
      </c>
      <c r="Q107" s="163">
        <v>8.1324212962962966E-2</v>
      </c>
      <c r="R107" s="163">
        <v>0.22044250000000001</v>
      </c>
      <c r="S107" s="163">
        <v>0.6958937268518518</v>
      </c>
      <c r="T107" s="164">
        <v>2.339560185185185E-3</v>
      </c>
      <c r="U107" s="6"/>
    </row>
    <row r="108" spans="2:21" ht="12.5" x14ac:dyDescent="0.25">
      <c r="B108" s="40" t="s">
        <v>292</v>
      </c>
      <c r="C108" s="41" t="s">
        <v>189</v>
      </c>
      <c r="D108" s="19" t="s">
        <v>72</v>
      </c>
      <c r="E108" s="19" t="s">
        <v>180</v>
      </c>
      <c r="F108" s="19" t="s">
        <v>23</v>
      </c>
      <c r="G108" s="19" t="s">
        <v>181</v>
      </c>
      <c r="H108" s="20">
        <v>39245</v>
      </c>
      <c r="I108" s="21">
        <v>14</v>
      </c>
      <c r="J108" s="22">
        <v>39247</v>
      </c>
      <c r="K108" s="23">
        <v>8491</v>
      </c>
      <c r="L108" s="23">
        <v>8800</v>
      </c>
      <c r="M108" s="24">
        <v>529200000</v>
      </c>
      <c r="N108" s="24">
        <v>0</v>
      </c>
      <c r="O108" s="24">
        <v>529200000</v>
      </c>
      <c r="P108" s="24">
        <v>274196891.19170988</v>
      </c>
      <c r="Q108" s="163">
        <v>0.11348703703703704</v>
      </c>
      <c r="R108" s="163">
        <v>0.10587037037037036</v>
      </c>
      <c r="S108" s="163">
        <v>0.7785144444444444</v>
      </c>
      <c r="T108" s="164">
        <v>2.1281481481481481E-3</v>
      </c>
      <c r="U108" s="6"/>
    </row>
    <row r="109" spans="2:21" ht="12.5" x14ac:dyDescent="0.25">
      <c r="B109" s="40" t="s">
        <v>293</v>
      </c>
      <c r="C109" s="41" t="s">
        <v>179</v>
      </c>
      <c r="D109" s="19" t="s">
        <v>106</v>
      </c>
      <c r="E109" s="19" t="s">
        <v>202</v>
      </c>
      <c r="F109" s="19" t="s">
        <v>23</v>
      </c>
      <c r="G109" s="19" t="s">
        <v>181</v>
      </c>
      <c r="H109" s="20">
        <v>39246</v>
      </c>
      <c r="I109" s="21">
        <v>14</v>
      </c>
      <c r="J109" s="22">
        <v>39248</v>
      </c>
      <c r="K109" s="23">
        <v>9623</v>
      </c>
      <c r="L109" s="23">
        <v>10166</v>
      </c>
      <c r="M109" s="24">
        <v>308000000</v>
      </c>
      <c r="N109" s="24">
        <v>182043750</v>
      </c>
      <c r="O109" s="24">
        <v>490043750</v>
      </c>
      <c r="P109" s="24">
        <v>256567408.37696335</v>
      </c>
      <c r="Q109" s="163">
        <v>9.1886681546290511E-2</v>
      </c>
      <c r="R109" s="163">
        <v>0.2072382394429069</v>
      </c>
      <c r="S109" s="163">
        <v>0.69781083831800728</v>
      </c>
      <c r="T109" s="164">
        <v>3.0642406927952862E-3</v>
      </c>
      <c r="U109" s="6"/>
    </row>
    <row r="110" spans="2:21" ht="12.5" x14ac:dyDescent="0.25">
      <c r="B110" s="40" t="s">
        <v>294</v>
      </c>
      <c r="C110" s="41" t="s">
        <v>179</v>
      </c>
      <c r="D110" s="19" t="s">
        <v>107</v>
      </c>
      <c r="E110" s="19" t="s">
        <v>180</v>
      </c>
      <c r="F110" s="19" t="s">
        <v>23</v>
      </c>
      <c r="G110" s="19" t="s">
        <v>181</v>
      </c>
      <c r="H110" s="20">
        <v>39251</v>
      </c>
      <c r="I110" s="21">
        <v>14.25</v>
      </c>
      <c r="J110" s="22">
        <v>39254</v>
      </c>
      <c r="K110" s="23">
        <v>26509</v>
      </c>
      <c r="L110" s="23">
        <v>28172</v>
      </c>
      <c r="M110" s="24">
        <v>443333317.5</v>
      </c>
      <c r="N110" s="24">
        <v>404913336.75</v>
      </c>
      <c r="O110" s="24">
        <v>848246654.25</v>
      </c>
      <c r="P110" s="24">
        <v>441795132.421875</v>
      </c>
      <c r="Q110" s="163">
        <v>8.6723968943965918E-2</v>
      </c>
      <c r="R110" s="163">
        <v>0.16357265313669819</v>
      </c>
      <c r="S110" s="163">
        <v>0.74697106298665961</v>
      </c>
      <c r="T110" s="164">
        <v>2.7323149326763173E-3</v>
      </c>
      <c r="U110" s="6"/>
    </row>
    <row r="111" spans="2:21" ht="12.5" x14ac:dyDescent="0.25">
      <c r="B111" s="40" t="s">
        <v>295</v>
      </c>
      <c r="C111" s="41" t="s">
        <v>179</v>
      </c>
      <c r="D111" s="19" t="s">
        <v>82</v>
      </c>
      <c r="E111" s="19" t="s">
        <v>180</v>
      </c>
      <c r="F111" s="19" t="s">
        <v>23</v>
      </c>
      <c r="G111" s="19" t="s">
        <v>181</v>
      </c>
      <c r="H111" s="20">
        <v>39252</v>
      </c>
      <c r="I111" s="21">
        <v>11</v>
      </c>
      <c r="J111" s="22">
        <v>39255</v>
      </c>
      <c r="K111" s="23">
        <v>5507</v>
      </c>
      <c r="L111" s="23">
        <v>5802</v>
      </c>
      <c r="M111" s="24">
        <v>542145813</v>
      </c>
      <c r="N111" s="24">
        <v>0</v>
      </c>
      <c r="O111" s="24">
        <v>542145813</v>
      </c>
      <c r="P111" s="24">
        <v>280904566.32124352</v>
      </c>
      <c r="Q111" s="163">
        <v>8.4224108911452572E-2</v>
      </c>
      <c r="R111" s="163">
        <v>0.22720709456073951</v>
      </c>
      <c r="S111" s="163">
        <v>0.68114236455423849</v>
      </c>
      <c r="T111" s="164">
        <v>7.4264319735694428E-3</v>
      </c>
      <c r="U111" s="6"/>
    </row>
    <row r="112" spans="2:21" ht="12.5" x14ac:dyDescent="0.25">
      <c r="B112" s="40" t="s">
        <v>296</v>
      </c>
      <c r="C112" s="41" t="s">
        <v>189</v>
      </c>
      <c r="D112" s="19" t="s">
        <v>72</v>
      </c>
      <c r="E112" s="19" t="s">
        <v>180</v>
      </c>
      <c r="F112" s="19" t="s">
        <v>23</v>
      </c>
      <c r="G112" s="19" t="s">
        <v>181</v>
      </c>
      <c r="H112" s="20">
        <v>39254</v>
      </c>
      <c r="I112" s="21">
        <v>15.5</v>
      </c>
      <c r="J112" s="22">
        <v>39259</v>
      </c>
      <c r="K112" s="23">
        <v>4188</v>
      </c>
      <c r="L112" s="23">
        <v>4442</v>
      </c>
      <c r="M112" s="24">
        <v>439695785</v>
      </c>
      <c r="N112" s="24">
        <v>133820459</v>
      </c>
      <c r="O112" s="24">
        <v>573516244</v>
      </c>
      <c r="P112" s="24">
        <v>294110894.35897434</v>
      </c>
      <c r="Q112" s="163">
        <v>8.3260549010821361E-2</v>
      </c>
      <c r="R112" s="163">
        <v>1.0036897922068948E-2</v>
      </c>
      <c r="S112" s="163">
        <v>0.59205433882625191</v>
      </c>
      <c r="T112" s="164">
        <v>0.31464821424085782</v>
      </c>
      <c r="U112" s="6"/>
    </row>
    <row r="113" spans="2:21" ht="12.5" x14ac:dyDescent="0.25">
      <c r="B113" s="40" t="s">
        <v>297</v>
      </c>
      <c r="C113" s="41" t="s">
        <v>189</v>
      </c>
      <c r="D113" s="19" t="s">
        <v>72</v>
      </c>
      <c r="E113" s="19" t="s">
        <v>180</v>
      </c>
      <c r="F113" s="19" t="s">
        <v>23</v>
      </c>
      <c r="G113" s="19" t="s">
        <v>181</v>
      </c>
      <c r="H113" s="20">
        <v>39259</v>
      </c>
      <c r="I113" s="21">
        <v>17</v>
      </c>
      <c r="J113" s="22">
        <v>39262</v>
      </c>
      <c r="K113" s="23">
        <v>7518</v>
      </c>
      <c r="L113" s="23">
        <v>8014</v>
      </c>
      <c r="M113" s="24">
        <v>936406104</v>
      </c>
      <c r="N113" s="24">
        <v>156067684</v>
      </c>
      <c r="O113" s="24">
        <v>1092473788</v>
      </c>
      <c r="P113" s="24">
        <v>566048594.81865287</v>
      </c>
      <c r="Q113" s="163">
        <v>8.8968386306033737E-2</v>
      </c>
      <c r="R113" s="163">
        <v>0.19154168941946276</v>
      </c>
      <c r="S113" s="163">
        <v>0.69751996649277959</v>
      </c>
      <c r="T113" s="164">
        <v>2.1969957781723913E-2</v>
      </c>
      <c r="U113" s="6"/>
    </row>
    <row r="114" spans="2:21" ht="12.5" x14ac:dyDescent="0.25">
      <c r="B114" s="40" t="s">
        <v>298</v>
      </c>
      <c r="C114" s="41" t="s">
        <v>179</v>
      </c>
      <c r="D114" s="19" t="s">
        <v>91</v>
      </c>
      <c r="E114" s="19" t="s">
        <v>194</v>
      </c>
      <c r="F114" s="19" t="s">
        <v>23</v>
      </c>
      <c r="G114" s="19" t="s">
        <v>181</v>
      </c>
      <c r="H114" s="20">
        <v>39259</v>
      </c>
      <c r="I114" s="21">
        <v>17</v>
      </c>
      <c r="J114" s="22">
        <v>39262</v>
      </c>
      <c r="K114" s="23">
        <v>4899</v>
      </c>
      <c r="L114" s="23">
        <v>5527</v>
      </c>
      <c r="M114" s="24">
        <v>654065548</v>
      </c>
      <c r="N114" s="24">
        <v>366444452</v>
      </c>
      <c r="O114" s="24">
        <v>1020510000</v>
      </c>
      <c r="P114" s="24">
        <v>528761658.03108811</v>
      </c>
      <c r="Q114" s="163">
        <v>4.729032150591371E-2</v>
      </c>
      <c r="R114" s="163">
        <v>0.26923170081625852</v>
      </c>
      <c r="S114" s="163">
        <v>0.67865817091454272</v>
      </c>
      <c r="T114" s="164">
        <v>4.819806763285024E-3</v>
      </c>
      <c r="U114" s="6"/>
    </row>
    <row r="115" spans="2:21" ht="12.5" x14ac:dyDescent="0.25">
      <c r="B115" s="40" t="s">
        <v>299</v>
      </c>
      <c r="C115" s="41" t="s">
        <v>179</v>
      </c>
      <c r="D115" s="19" t="s">
        <v>108</v>
      </c>
      <c r="E115" s="19" t="s">
        <v>266</v>
      </c>
      <c r="F115" s="19" t="s">
        <v>23</v>
      </c>
      <c r="G115" s="19" t="s">
        <v>181</v>
      </c>
      <c r="H115" s="20">
        <v>39261</v>
      </c>
      <c r="I115" s="21">
        <v>26</v>
      </c>
      <c r="J115" s="22">
        <v>39266</v>
      </c>
      <c r="K115" s="23">
        <v>6714</v>
      </c>
      <c r="L115" s="23">
        <v>7147</v>
      </c>
      <c r="M115" s="24">
        <v>290228506.10000002</v>
      </c>
      <c r="N115" s="24">
        <v>313751493.89999998</v>
      </c>
      <c r="O115" s="24">
        <v>603980000</v>
      </c>
      <c r="P115" s="24">
        <v>316219895.28795815</v>
      </c>
      <c r="Q115" s="163">
        <v>8.8064743865690923E-2</v>
      </c>
      <c r="R115" s="163">
        <v>0.31941304347826088</v>
      </c>
      <c r="S115" s="163">
        <v>0.59044782608695656</v>
      </c>
      <c r="T115" s="164">
        <v>2.0743865690916919E-3</v>
      </c>
      <c r="U115" s="6"/>
    </row>
    <row r="116" spans="2:21" ht="12.5" x14ac:dyDescent="0.25">
      <c r="B116" s="40" t="s">
        <v>300</v>
      </c>
      <c r="C116" s="41" t="s">
        <v>179</v>
      </c>
      <c r="D116" s="19" t="s">
        <v>68</v>
      </c>
      <c r="E116" s="19" t="s">
        <v>180</v>
      </c>
      <c r="F116" s="19" t="s">
        <v>24</v>
      </c>
      <c r="G116" s="19" t="s">
        <v>181</v>
      </c>
      <c r="H116" s="20">
        <v>39261</v>
      </c>
      <c r="I116" s="21">
        <v>15</v>
      </c>
      <c r="J116" s="22">
        <v>39266</v>
      </c>
      <c r="K116" s="23">
        <v>7204</v>
      </c>
      <c r="L116" s="23">
        <v>7676</v>
      </c>
      <c r="M116" s="24">
        <v>235400100</v>
      </c>
      <c r="N116" s="24">
        <v>157290300</v>
      </c>
      <c r="O116" s="24">
        <v>392690400</v>
      </c>
      <c r="P116" s="24">
        <v>205597068.06282723</v>
      </c>
      <c r="Q116" s="163">
        <v>9.9862754475281285E-2</v>
      </c>
      <c r="R116" s="163">
        <v>0.22867743902066362</v>
      </c>
      <c r="S116" s="163">
        <v>0.66993242004388187</v>
      </c>
      <c r="T116" s="164">
        <v>1.5273864601732052E-3</v>
      </c>
      <c r="U116" s="6"/>
    </row>
    <row r="117" spans="2:21" ht="12.5" x14ac:dyDescent="0.25">
      <c r="B117" s="40" t="s">
        <v>301</v>
      </c>
      <c r="C117" s="41" t="s">
        <v>184</v>
      </c>
      <c r="D117" s="19" t="s">
        <v>72</v>
      </c>
      <c r="E117" s="19" t="s">
        <v>202</v>
      </c>
      <c r="F117" s="19" t="s">
        <v>23</v>
      </c>
      <c r="G117" s="19" t="s">
        <v>181</v>
      </c>
      <c r="H117" s="20">
        <v>39273</v>
      </c>
      <c r="I117" s="21">
        <v>17.5</v>
      </c>
      <c r="J117" s="22">
        <v>39275</v>
      </c>
      <c r="K117" s="23">
        <v>283</v>
      </c>
      <c r="L117" s="23">
        <v>348</v>
      </c>
      <c r="M117" s="24">
        <v>227500017.5</v>
      </c>
      <c r="N117" s="24">
        <v>25060752.5</v>
      </c>
      <c r="O117" s="24">
        <v>252560770</v>
      </c>
      <c r="P117" s="24">
        <v>134340835.106383</v>
      </c>
      <c r="Q117" s="163">
        <v>7.6261224902982705E-2</v>
      </c>
      <c r="R117" s="163">
        <v>4.045622765721326E-2</v>
      </c>
      <c r="S117" s="163">
        <v>0.87974539386573891</v>
      </c>
      <c r="T117" s="164">
        <v>3.5371535740651096E-3</v>
      </c>
      <c r="U117" s="6"/>
    </row>
    <row r="118" spans="2:21" ht="12.5" x14ac:dyDescent="0.25">
      <c r="B118" s="40" t="s">
        <v>302</v>
      </c>
      <c r="C118" s="41" t="s">
        <v>179</v>
      </c>
      <c r="D118" s="19" t="s">
        <v>109</v>
      </c>
      <c r="E118" s="19" t="s">
        <v>192</v>
      </c>
      <c r="F118" s="19" t="s">
        <v>23</v>
      </c>
      <c r="G118" s="19" t="s">
        <v>181</v>
      </c>
      <c r="H118" s="20">
        <v>39274</v>
      </c>
      <c r="I118" s="21">
        <v>27</v>
      </c>
      <c r="J118" s="22">
        <v>39276</v>
      </c>
      <c r="K118" s="23">
        <v>29315</v>
      </c>
      <c r="L118" s="23">
        <v>31297</v>
      </c>
      <c r="M118" s="24">
        <v>419999985</v>
      </c>
      <c r="N118" s="24">
        <v>4222694700</v>
      </c>
      <c r="O118" s="24">
        <v>4642694685</v>
      </c>
      <c r="P118" s="24">
        <v>2482724430.4812832</v>
      </c>
      <c r="Q118" s="163">
        <v>8.895317698454254E-2</v>
      </c>
      <c r="R118" s="163">
        <v>0.19214644371989326</v>
      </c>
      <c r="S118" s="163">
        <v>0.71547075833611484</v>
      </c>
      <c r="T118" s="164">
        <v>3.429620959449329E-3</v>
      </c>
      <c r="U118" s="6"/>
    </row>
    <row r="119" spans="2:21" ht="12.5" x14ac:dyDescent="0.25">
      <c r="B119" s="40" t="s">
        <v>303</v>
      </c>
      <c r="C119" s="41" t="s">
        <v>179</v>
      </c>
      <c r="D119" s="19" t="s">
        <v>87</v>
      </c>
      <c r="E119" s="19" t="s">
        <v>202</v>
      </c>
      <c r="F119" s="19" t="s">
        <v>23</v>
      </c>
      <c r="G119" s="19" t="s">
        <v>181</v>
      </c>
      <c r="H119" s="20">
        <v>39275</v>
      </c>
      <c r="I119" s="21">
        <v>1000</v>
      </c>
      <c r="J119" s="22">
        <v>39279</v>
      </c>
      <c r="K119" s="23">
        <v>16</v>
      </c>
      <c r="L119" s="23">
        <v>114</v>
      </c>
      <c r="M119" s="24">
        <v>945000000</v>
      </c>
      <c r="N119" s="24">
        <v>0</v>
      </c>
      <c r="O119" s="24">
        <v>945000000</v>
      </c>
      <c r="P119" s="24">
        <v>508064516.12903225</v>
      </c>
      <c r="Q119" s="163">
        <v>9.1005291005291002E-3</v>
      </c>
      <c r="R119" s="163">
        <v>5.9894179894179896E-2</v>
      </c>
      <c r="S119" s="163">
        <v>0.8720634920634921</v>
      </c>
      <c r="T119" s="164">
        <v>5.8941798941798941E-2</v>
      </c>
      <c r="U119" s="6"/>
    </row>
    <row r="120" spans="2:21" ht="12.5" x14ac:dyDescent="0.25">
      <c r="B120" s="40" t="s">
        <v>304</v>
      </c>
      <c r="C120" s="41" t="s">
        <v>179</v>
      </c>
      <c r="D120" s="19" t="s">
        <v>91</v>
      </c>
      <c r="E120" s="19" t="s">
        <v>202</v>
      </c>
      <c r="F120" s="19" t="s">
        <v>23</v>
      </c>
      <c r="G120" s="19" t="s">
        <v>181</v>
      </c>
      <c r="H120" s="20">
        <v>39281</v>
      </c>
      <c r="I120" s="21">
        <v>18.5</v>
      </c>
      <c r="J120" s="22">
        <v>39283</v>
      </c>
      <c r="K120" s="23">
        <v>11539</v>
      </c>
      <c r="L120" s="23">
        <v>12115</v>
      </c>
      <c r="M120" s="24">
        <v>370000000</v>
      </c>
      <c r="N120" s="24">
        <v>74000000</v>
      </c>
      <c r="O120" s="24">
        <v>444000000</v>
      </c>
      <c r="P120" s="24">
        <v>238709677.41935483</v>
      </c>
      <c r="Q120" s="163">
        <v>0.10461865942028986</v>
      </c>
      <c r="R120" s="163">
        <v>0.27791492753623187</v>
      </c>
      <c r="S120" s="163">
        <v>0.6155805797101449</v>
      </c>
      <c r="T120" s="164">
        <v>1.8858333333333333E-3</v>
      </c>
      <c r="U120" s="6"/>
    </row>
    <row r="121" spans="2:21" ht="12.5" x14ac:dyDescent="0.25">
      <c r="B121" s="40" t="s">
        <v>305</v>
      </c>
      <c r="C121" s="41" t="s">
        <v>240</v>
      </c>
      <c r="D121" s="19" t="s">
        <v>72</v>
      </c>
      <c r="E121" s="19" t="s">
        <v>266</v>
      </c>
      <c r="F121" s="19" t="s">
        <v>23</v>
      </c>
      <c r="G121" s="19" t="s">
        <v>181</v>
      </c>
      <c r="H121" s="20">
        <v>39281</v>
      </c>
      <c r="I121" s="21">
        <v>48.38</v>
      </c>
      <c r="J121" s="22">
        <v>39283</v>
      </c>
      <c r="K121" s="23">
        <v>2830</v>
      </c>
      <c r="L121" s="23">
        <v>2917</v>
      </c>
      <c r="M121" s="24">
        <v>7619850</v>
      </c>
      <c r="N121" s="24">
        <v>68336750</v>
      </c>
      <c r="O121" s="24">
        <v>75956600</v>
      </c>
      <c r="P121" s="24">
        <v>40836881.720430106</v>
      </c>
      <c r="Q121" s="163">
        <v>6.1869565217391306E-3</v>
      </c>
      <c r="R121" s="163">
        <v>2.0525478260869565E-2</v>
      </c>
      <c r="S121" s="163">
        <v>0.97320278260869564</v>
      </c>
      <c r="T121" s="164">
        <v>8.478260869565218E-5</v>
      </c>
      <c r="U121" s="6"/>
    </row>
    <row r="122" spans="2:21" ht="12.5" x14ac:dyDescent="0.25">
      <c r="B122" s="40" t="s">
        <v>306</v>
      </c>
      <c r="C122" s="41" t="s">
        <v>179</v>
      </c>
      <c r="D122" s="19" t="s">
        <v>110</v>
      </c>
      <c r="E122" s="19" t="s">
        <v>204</v>
      </c>
      <c r="F122" s="19" t="s">
        <v>24</v>
      </c>
      <c r="G122" s="19" t="s">
        <v>181</v>
      </c>
      <c r="H122" s="20">
        <v>39282</v>
      </c>
      <c r="I122" s="21">
        <v>11</v>
      </c>
      <c r="J122" s="22">
        <v>39286</v>
      </c>
      <c r="K122" s="23">
        <v>9089</v>
      </c>
      <c r="L122" s="23">
        <v>9404</v>
      </c>
      <c r="M122" s="24">
        <v>229163000</v>
      </c>
      <c r="N122" s="24">
        <v>82500000</v>
      </c>
      <c r="O122" s="24">
        <v>311663000</v>
      </c>
      <c r="P122" s="24">
        <v>168977987.42138365</v>
      </c>
      <c r="Q122" s="163">
        <v>8.3772279673878514E-2</v>
      </c>
      <c r="R122" s="163">
        <v>0.28175932504576778</v>
      </c>
      <c r="S122" s="163">
        <v>0.63107539372585975</v>
      </c>
      <c r="T122" s="164">
        <v>3.3930015544939916E-3</v>
      </c>
      <c r="U122" s="6"/>
    </row>
    <row r="123" spans="2:21" ht="12.5" x14ac:dyDescent="0.25">
      <c r="B123" s="40" t="s">
        <v>307</v>
      </c>
      <c r="C123" s="41" t="s">
        <v>179</v>
      </c>
      <c r="D123" s="19" t="s">
        <v>82</v>
      </c>
      <c r="E123" s="19" t="s">
        <v>180</v>
      </c>
      <c r="F123" s="19" t="s">
        <v>23</v>
      </c>
      <c r="G123" s="19" t="s">
        <v>181</v>
      </c>
      <c r="H123" s="20">
        <v>39282</v>
      </c>
      <c r="I123" s="21">
        <v>26</v>
      </c>
      <c r="J123" s="22">
        <v>39286</v>
      </c>
      <c r="K123" s="23">
        <v>15461</v>
      </c>
      <c r="L123" s="23">
        <v>16745</v>
      </c>
      <c r="M123" s="24">
        <v>1071155202</v>
      </c>
      <c r="N123" s="24">
        <v>122244798</v>
      </c>
      <c r="O123" s="24">
        <v>1193400000</v>
      </c>
      <c r="P123" s="24">
        <v>647039687.70331812</v>
      </c>
      <c r="Q123" s="163">
        <v>7.6903420479302834E-2</v>
      </c>
      <c r="R123" s="163">
        <v>0.18763581699346404</v>
      </c>
      <c r="S123" s="163">
        <v>0.7331963616557734</v>
      </c>
      <c r="T123" s="164">
        <v>2.264400871459695E-3</v>
      </c>
      <c r="U123" s="6"/>
    </row>
    <row r="124" spans="2:21" ht="12.5" x14ac:dyDescent="0.25">
      <c r="B124" s="40" t="s">
        <v>308</v>
      </c>
      <c r="C124" s="41" t="s">
        <v>184</v>
      </c>
      <c r="D124" s="19" t="s">
        <v>98</v>
      </c>
      <c r="E124" s="19" t="s">
        <v>185</v>
      </c>
      <c r="F124" s="19" t="s">
        <v>23</v>
      </c>
      <c r="G124" s="19" t="s">
        <v>181</v>
      </c>
      <c r="H124" s="20">
        <v>39282</v>
      </c>
      <c r="I124" s="21">
        <v>39</v>
      </c>
      <c r="J124" s="22">
        <v>39286</v>
      </c>
      <c r="K124" s="23">
        <v>11158</v>
      </c>
      <c r="L124" s="23">
        <v>12081</v>
      </c>
      <c r="M124" s="24">
        <v>395695287</v>
      </c>
      <c r="N124" s="24">
        <v>83078463</v>
      </c>
      <c r="O124" s="24">
        <v>478773750</v>
      </c>
      <c r="P124" s="24">
        <v>259582384.51528952</v>
      </c>
      <c r="Q124" s="163">
        <v>9.2084634965889423E-2</v>
      </c>
      <c r="R124" s="163">
        <v>0.20221606761022298</v>
      </c>
      <c r="S124" s="163">
        <v>0.70243787801649527</v>
      </c>
      <c r="T124" s="164">
        <v>3.2614194073923228E-3</v>
      </c>
      <c r="U124" s="6"/>
    </row>
    <row r="125" spans="2:21" ht="12.5" x14ac:dyDescent="0.25">
      <c r="B125" s="40" t="s">
        <v>309</v>
      </c>
      <c r="C125" s="41" t="s">
        <v>179</v>
      </c>
      <c r="D125" s="19" t="s">
        <v>96</v>
      </c>
      <c r="E125" s="19" t="s">
        <v>180</v>
      </c>
      <c r="F125" s="19" t="s">
        <v>23</v>
      </c>
      <c r="G125" s="19" t="s">
        <v>181</v>
      </c>
      <c r="H125" s="20">
        <v>39282</v>
      </c>
      <c r="I125" s="21">
        <v>13.5</v>
      </c>
      <c r="J125" s="22">
        <v>39286</v>
      </c>
      <c r="K125" s="23">
        <v>12229</v>
      </c>
      <c r="L125" s="23">
        <v>12750</v>
      </c>
      <c r="M125" s="24">
        <v>665758062</v>
      </c>
      <c r="N125" s="24">
        <v>0</v>
      </c>
      <c r="O125" s="24">
        <v>665758062</v>
      </c>
      <c r="P125" s="24">
        <v>360961864.02081978</v>
      </c>
      <c r="Q125" s="163">
        <v>0.11163641357866029</v>
      </c>
      <c r="R125" s="163">
        <v>0.43603055349678765</v>
      </c>
      <c r="S125" s="163">
        <v>0.44979501336939859</v>
      </c>
      <c r="T125" s="164">
        <v>2.5380195551534352E-3</v>
      </c>
      <c r="U125" s="6"/>
    </row>
    <row r="126" spans="2:21" ht="12.5" x14ac:dyDescent="0.25">
      <c r="B126" s="40" t="s">
        <v>310</v>
      </c>
      <c r="C126" s="41" t="s">
        <v>179</v>
      </c>
      <c r="D126" s="19" t="s">
        <v>111</v>
      </c>
      <c r="E126" s="19" t="s">
        <v>202</v>
      </c>
      <c r="F126" s="19" t="s">
        <v>23</v>
      </c>
      <c r="G126" s="19" t="s">
        <v>181</v>
      </c>
      <c r="H126" s="20">
        <v>39282</v>
      </c>
      <c r="I126" s="21">
        <v>9.5</v>
      </c>
      <c r="J126" s="22">
        <v>39286</v>
      </c>
      <c r="K126" s="23">
        <v>7067</v>
      </c>
      <c r="L126" s="23">
        <v>7427</v>
      </c>
      <c r="M126" s="24">
        <v>304438719.5</v>
      </c>
      <c r="N126" s="24">
        <v>208561280.5</v>
      </c>
      <c r="O126" s="24">
        <v>513000000</v>
      </c>
      <c r="P126" s="24">
        <v>278139232.27065712</v>
      </c>
      <c r="Q126" s="163">
        <v>8.5420032206119156E-2</v>
      </c>
      <c r="R126" s="163">
        <v>0.16731320450885667</v>
      </c>
      <c r="S126" s="163">
        <v>0.74539797101449279</v>
      </c>
      <c r="T126" s="164">
        <v>1.8687922705314009E-3</v>
      </c>
      <c r="U126" s="6"/>
    </row>
    <row r="127" spans="2:21" ht="12.5" x14ac:dyDescent="0.25">
      <c r="B127" s="40" t="s">
        <v>311</v>
      </c>
      <c r="C127" s="41" t="s">
        <v>184</v>
      </c>
      <c r="D127" s="19" t="s">
        <v>72</v>
      </c>
      <c r="E127" s="19" t="s">
        <v>180</v>
      </c>
      <c r="F127" s="19" t="s">
        <v>23</v>
      </c>
      <c r="G127" s="19" t="s">
        <v>181</v>
      </c>
      <c r="H127" s="20">
        <v>39286</v>
      </c>
      <c r="I127" s="21">
        <v>13.5</v>
      </c>
      <c r="J127" s="22">
        <v>39288</v>
      </c>
      <c r="K127" s="23">
        <v>5909</v>
      </c>
      <c r="L127" s="23">
        <v>6364</v>
      </c>
      <c r="M127" s="24">
        <v>599400000</v>
      </c>
      <c r="N127" s="24">
        <v>9450000</v>
      </c>
      <c r="O127" s="24">
        <v>608850000</v>
      </c>
      <c r="P127" s="24">
        <v>327338709.67741936</v>
      </c>
      <c r="Q127" s="163">
        <v>0.11208310810810811</v>
      </c>
      <c r="R127" s="163">
        <v>0.23769067567567567</v>
      </c>
      <c r="S127" s="163">
        <v>0.64804310810810806</v>
      </c>
      <c r="T127" s="164">
        <v>2.183108108108108E-3</v>
      </c>
      <c r="U127" s="6"/>
    </row>
    <row r="128" spans="2:21" ht="12.5" x14ac:dyDescent="0.25">
      <c r="B128" s="40" t="s">
        <v>312</v>
      </c>
      <c r="C128" s="41" t="s">
        <v>179</v>
      </c>
      <c r="D128" s="19" t="s">
        <v>112</v>
      </c>
      <c r="E128" s="19" t="s">
        <v>202</v>
      </c>
      <c r="F128" s="19" t="s">
        <v>23</v>
      </c>
      <c r="G128" s="19" t="s">
        <v>181</v>
      </c>
      <c r="H128" s="20">
        <v>39288</v>
      </c>
      <c r="I128" s="21">
        <v>19</v>
      </c>
      <c r="J128" s="22">
        <v>39290</v>
      </c>
      <c r="K128" s="23">
        <v>7307</v>
      </c>
      <c r="L128" s="23">
        <v>7592</v>
      </c>
      <c r="M128" s="24">
        <v>446500000</v>
      </c>
      <c r="N128" s="24">
        <v>209000000</v>
      </c>
      <c r="O128" s="24">
        <v>655500000</v>
      </c>
      <c r="P128" s="24">
        <v>343193717.27748692</v>
      </c>
      <c r="Q128" s="163">
        <v>6.2804840579710142E-2</v>
      </c>
      <c r="R128" s="163">
        <v>0.18064202898550724</v>
      </c>
      <c r="S128" s="163">
        <v>0.36570678260869566</v>
      </c>
      <c r="T128" s="164">
        <v>0.39084634782608696</v>
      </c>
      <c r="U128" s="6"/>
    </row>
    <row r="129" spans="2:21" ht="12.5" x14ac:dyDescent="0.25">
      <c r="B129" s="40" t="s">
        <v>313</v>
      </c>
      <c r="C129" s="41" t="s">
        <v>179</v>
      </c>
      <c r="D129" s="19" t="s">
        <v>113</v>
      </c>
      <c r="E129" s="19" t="s">
        <v>180</v>
      </c>
      <c r="F129" s="19" t="s">
        <v>23</v>
      </c>
      <c r="G129" s="19" t="s">
        <v>181</v>
      </c>
      <c r="H129" s="20">
        <v>39288</v>
      </c>
      <c r="I129" s="21">
        <v>15</v>
      </c>
      <c r="J129" s="22">
        <v>39290</v>
      </c>
      <c r="K129" s="23">
        <v>11036</v>
      </c>
      <c r="L129" s="23">
        <v>11615</v>
      </c>
      <c r="M129" s="24">
        <v>468750000</v>
      </c>
      <c r="N129" s="24">
        <v>0</v>
      </c>
      <c r="O129" s="24">
        <v>468750000</v>
      </c>
      <c r="P129" s="24">
        <v>245418848.16753927</v>
      </c>
      <c r="Q129" s="163">
        <v>9.3246636521739132E-2</v>
      </c>
      <c r="R129" s="163">
        <v>0.23296834782608697</v>
      </c>
      <c r="S129" s="163">
        <v>0.67160027826086954</v>
      </c>
      <c r="T129" s="164">
        <v>2.1847373913043478E-3</v>
      </c>
      <c r="U129" s="6"/>
    </row>
    <row r="130" spans="2:21" ht="12.5" x14ac:dyDescent="0.25">
      <c r="B130" s="40" t="s">
        <v>314</v>
      </c>
      <c r="C130" s="41" t="s">
        <v>184</v>
      </c>
      <c r="D130" s="19" t="s">
        <v>87</v>
      </c>
      <c r="E130" s="19" t="s">
        <v>180</v>
      </c>
      <c r="F130" s="19" t="s">
        <v>23</v>
      </c>
      <c r="G130" s="19" t="s">
        <v>181</v>
      </c>
      <c r="H130" s="20">
        <v>39288</v>
      </c>
      <c r="I130" s="21">
        <v>25</v>
      </c>
      <c r="J130" s="22">
        <v>39290</v>
      </c>
      <c r="K130" s="23">
        <v>24137</v>
      </c>
      <c r="L130" s="23">
        <v>25531</v>
      </c>
      <c r="M130" s="24">
        <v>688327725</v>
      </c>
      <c r="N130" s="24">
        <v>236200650</v>
      </c>
      <c r="O130" s="24">
        <v>924528375</v>
      </c>
      <c r="P130" s="24">
        <v>484046269.63350785</v>
      </c>
      <c r="Q130" s="163">
        <v>9.7230319430042358E-2</v>
      </c>
      <c r="R130" s="163">
        <v>0.25952620446865432</v>
      </c>
      <c r="S130" s="163">
        <v>0.63936613045796464</v>
      </c>
      <c r="T130" s="164">
        <v>3.8773456433386258E-3</v>
      </c>
      <c r="U130" s="6"/>
    </row>
    <row r="131" spans="2:21" ht="12.5" x14ac:dyDescent="0.25">
      <c r="B131" s="40" t="s">
        <v>315</v>
      </c>
      <c r="C131" s="41" t="s">
        <v>179</v>
      </c>
      <c r="D131" s="19" t="s">
        <v>87</v>
      </c>
      <c r="E131" s="19" t="s">
        <v>266</v>
      </c>
      <c r="F131" s="19" t="s">
        <v>23</v>
      </c>
      <c r="G131" s="19" t="s">
        <v>181</v>
      </c>
      <c r="H131" s="20">
        <v>39289</v>
      </c>
      <c r="I131" s="21">
        <v>14</v>
      </c>
      <c r="J131" s="22">
        <v>39293</v>
      </c>
      <c r="K131" s="23">
        <v>4966</v>
      </c>
      <c r="L131" s="23">
        <v>5168</v>
      </c>
      <c r="M131" s="24">
        <v>286728400</v>
      </c>
      <c r="N131" s="24">
        <v>0</v>
      </c>
      <c r="O131" s="24">
        <v>286728400</v>
      </c>
      <c r="P131" s="24">
        <v>152515106.38297874</v>
      </c>
      <c r="Q131" s="163">
        <v>9.6405663322185059E-2</v>
      </c>
      <c r="R131" s="163">
        <v>0.23837311036789297</v>
      </c>
      <c r="S131" s="163">
        <v>0.66340026755852843</v>
      </c>
      <c r="T131" s="164">
        <v>1.8209587513935341E-3</v>
      </c>
      <c r="U131" s="6"/>
    </row>
    <row r="132" spans="2:21" ht="12.5" x14ac:dyDescent="0.25">
      <c r="B132" s="40" t="s">
        <v>316</v>
      </c>
      <c r="C132" s="41" t="s">
        <v>184</v>
      </c>
      <c r="D132" s="19" t="s">
        <v>98</v>
      </c>
      <c r="E132" s="19" t="s">
        <v>180</v>
      </c>
      <c r="F132" s="19" t="s">
        <v>23</v>
      </c>
      <c r="G132" s="19" t="s">
        <v>181</v>
      </c>
      <c r="H132" s="20">
        <v>39289</v>
      </c>
      <c r="I132" s="21">
        <v>22.5</v>
      </c>
      <c r="J132" s="22">
        <v>39293</v>
      </c>
      <c r="K132" s="23">
        <v>10782</v>
      </c>
      <c r="L132" s="23">
        <v>11320</v>
      </c>
      <c r="M132" s="24">
        <v>268164000</v>
      </c>
      <c r="N132" s="24">
        <v>178776000</v>
      </c>
      <c r="O132" s="24">
        <v>446940000</v>
      </c>
      <c r="P132" s="24">
        <v>237734042.55319151</v>
      </c>
      <c r="Q132" s="163">
        <v>8.915547461871158E-2</v>
      </c>
      <c r="R132" s="163">
        <v>0.2640286995044564</v>
      </c>
      <c r="S132" s="163">
        <v>0.64297273634628516</v>
      </c>
      <c r="T132" s="164">
        <v>3.8430895305468491E-3</v>
      </c>
      <c r="U132" s="6"/>
    </row>
    <row r="133" spans="2:21" ht="12.5" x14ac:dyDescent="0.25">
      <c r="B133" s="40" t="s">
        <v>317</v>
      </c>
      <c r="C133" s="41" t="s">
        <v>189</v>
      </c>
      <c r="D133" s="19" t="s">
        <v>72</v>
      </c>
      <c r="E133" s="19" t="s">
        <v>202</v>
      </c>
      <c r="F133" s="19" t="s">
        <v>24</v>
      </c>
      <c r="G133" s="19" t="s">
        <v>181</v>
      </c>
      <c r="H133" s="20">
        <v>39287</v>
      </c>
      <c r="I133" s="21">
        <v>12</v>
      </c>
      <c r="J133" s="22">
        <v>39294</v>
      </c>
      <c r="K133" s="23">
        <v>13220</v>
      </c>
      <c r="L133" s="23">
        <v>13799</v>
      </c>
      <c r="M133" s="24">
        <v>799999992</v>
      </c>
      <c r="N133" s="24">
        <v>1286956524</v>
      </c>
      <c r="O133" s="24">
        <v>2086956516</v>
      </c>
      <c r="P133" s="24">
        <v>1110083253.1914895</v>
      </c>
      <c r="Q133" s="163">
        <v>6.0390630603906308E-2</v>
      </c>
      <c r="R133" s="163">
        <v>6.9262740692627403E-2</v>
      </c>
      <c r="S133" s="163">
        <v>0.84492629344926296</v>
      </c>
      <c r="T133" s="164">
        <v>2.5420335254203352E-2</v>
      </c>
      <c r="U133" s="6"/>
    </row>
    <row r="134" spans="2:21" ht="12.5" x14ac:dyDescent="0.25">
      <c r="B134" s="40" t="s">
        <v>318</v>
      </c>
      <c r="C134" s="41" t="s">
        <v>240</v>
      </c>
      <c r="D134" s="19" t="s">
        <v>96</v>
      </c>
      <c r="E134" s="19" t="s">
        <v>185</v>
      </c>
      <c r="F134" s="19" t="s">
        <v>23</v>
      </c>
      <c r="G134" s="19" t="s">
        <v>181</v>
      </c>
      <c r="H134" s="20">
        <v>39310</v>
      </c>
      <c r="I134" s="21">
        <v>21.05</v>
      </c>
      <c r="J134" s="22">
        <v>39311</v>
      </c>
      <c r="K134" s="23">
        <v>1560</v>
      </c>
      <c r="L134" s="23">
        <v>1819</v>
      </c>
      <c r="M134" s="24">
        <v>275016439.69999999</v>
      </c>
      <c r="N134" s="24">
        <v>0</v>
      </c>
      <c r="O134" s="24">
        <v>275016439.69999999</v>
      </c>
      <c r="P134" s="24">
        <v>134811980.24509802</v>
      </c>
      <c r="Q134" s="163">
        <v>8.5760310893819736E-3</v>
      </c>
      <c r="R134" s="163">
        <v>6.497336091262379E-2</v>
      </c>
      <c r="S134" s="163">
        <v>0.9262526728630528</v>
      </c>
      <c r="T134" s="164">
        <v>1.9793513494152832E-4</v>
      </c>
      <c r="U134" s="6"/>
    </row>
    <row r="135" spans="2:21" ht="12.5" x14ac:dyDescent="0.25">
      <c r="B135" s="40" t="s">
        <v>319</v>
      </c>
      <c r="C135" s="41" t="s">
        <v>179</v>
      </c>
      <c r="D135" s="19" t="s">
        <v>85</v>
      </c>
      <c r="E135" s="19" t="s">
        <v>180</v>
      </c>
      <c r="F135" s="19" t="s">
        <v>23</v>
      </c>
      <c r="G135" s="19" t="s">
        <v>181</v>
      </c>
      <c r="H135" s="20">
        <v>39344</v>
      </c>
      <c r="I135" s="21">
        <v>13</v>
      </c>
      <c r="J135" s="22">
        <v>39346</v>
      </c>
      <c r="K135" s="23">
        <v>6756</v>
      </c>
      <c r="L135" s="23">
        <v>7211</v>
      </c>
      <c r="M135" s="24">
        <v>227766344</v>
      </c>
      <c r="N135" s="24">
        <v>184774057</v>
      </c>
      <c r="O135" s="24">
        <v>412540401</v>
      </c>
      <c r="P135" s="24">
        <v>221795914.51612902</v>
      </c>
      <c r="Q135" s="163">
        <v>8.6447897709144489E-2</v>
      </c>
      <c r="R135" s="163">
        <v>0.21924022389117181</v>
      </c>
      <c r="S135" s="163">
        <v>0.68953015553518604</v>
      </c>
      <c r="T135" s="164">
        <v>4.7817228644976093E-3</v>
      </c>
      <c r="U135" s="6"/>
    </row>
    <row r="136" spans="2:21" ht="12.5" x14ac:dyDescent="0.25">
      <c r="B136" s="40" t="s">
        <v>320</v>
      </c>
      <c r="C136" s="41" t="s">
        <v>184</v>
      </c>
      <c r="D136" s="19" t="s">
        <v>69</v>
      </c>
      <c r="E136" s="19" t="s">
        <v>192</v>
      </c>
      <c r="F136" s="19" t="s">
        <v>23</v>
      </c>
      <c r="G136" s="19" t="s">
        <v>181</v>
      </c>
      <c r="H136" s="20">
        <v>39358</v>
      </c>
      <c r="I136" s="21">
        <v>31</v>
      </c>
      <c r="J136" s="22">
        <v>39360</v>
      </c>
      <c r="K136" s="23">
        <v>19047</v>
      </c>
      <c r="L136" s="23">
        <v>19979</v>
      </c>
      <c r="M136" s="24">
        <v>775000000</v>
      </c>
      <c r="N136" s="24">
        <v>0</v>
      </c>
      <c r="O136" s="24">
        <v>775000000</v>
      </c>
      <c r="P136" s="24">
        <v>428176795.58011049</v>
      </c>
      <c r="Q136" s="163">
        <v>8.90986E-2</v>
      </c>
      <c r="R136" s="163">
        <v>2.9223200000000001E-2</v>
      </c>
      <c r="S136" s="163">
        <v>0.87409999999999999</v>
      </c>
      <c r="T136" s="164">
        <v>7.5782000000000002E-3</v>
      </c>
      <c r="U136" s="6"/>
    </row>
    <row r="137" spans="2:21" ht="12.5" x14ac:dyDescent="0.25">
      <c r="B137" s="40" t="s">
        <v>321</v>
      </c>
      <c r="C137" s="41" t="s">
        <v>189</v>
      </c>
      <c r="D137" s="19" t="s">
        <v>72</v>
      </c>
      <c r="E137" s="19" t="s">
        <v>180</v>
      </c>
      <c r="F137" s="19" t="s">
        <v>23</v>
      </c>
      <c r="G137" s="19" t="s">
        <v>181</v>
      </c>
      <c r="H137" s="20">
        <v>39365</v>
      </c>
      <c r="I137" s="21">
        <v>11.5</v>
      </c>
      <c r="J137" s="22">
        <v>39370</v>
      </c>
      <c r="K137" s="23">
        <v>5158</v>
      </c>
      <c r="L137" s="23">
        <v>6257</v>
      </c>
      <c r="M137" s="24">
        <v>492915645</v>
      </c>
      <c r="N137" s="24">
        <v>328610430</v>
      </c>
      <c r="O137" s="24">
        <v>821526075</v>
      </c>
      <c r="P137" s="24">
        <v>453881809.3922652</v>
      </c>
      <c r="Q137" s="163">
        <v>4.918085223283996E-2</v>
      </c>
      <c r="R137" s="163">
        <v>8.6446248830263847E-2</v>
      </c>
      <c r="S137" s="163">
        <v>0.84910050177043983</v>
      </c>
      <c r="T137" s="164">
        <v>1.5272397166456342E-2</v>
      </c>
      <c r="U137" s="6"/>
    </row>
    <row r="138" spans="2:21" ht="12.5" x14ac:dyDescent="0.25">
      <c r="B138" s="40" t="s">
        <v>322</v>
      </c>
      <c r="C138" s="41" t="s">
        <v>179</v>
      </c>
      <c r="D138" s="19" t="s">
        <v>82</v>
      </c>
      <c r="E138" s="19" t="s">
        <v>185</v>
      </c>
      <c r="F138" s="19" t="s">
        <v>23</v>
      </c>
      <c r="G138" s="19" t="s">
        <v>181</v>
      </c>
      <c r="H138" s="20">
        <v>39366</v>
      </c>
      <c r="I138" s="21">
        <v>11</v>
      </c>
      <c r="J138" s="22">
        <v>39370</v>
      </c>
      <c r="K138" s="23">
        <v>2427</v>
      </c>
      <c r="L138" s="23">
        <v>2713</v>
      </c>
      <c r="M138" s="24">
        <v>330281050</v>
      </c>
      <c r="N138" s="24">
        <v>0</v>
      </c>
      <c r="O138" s="24">
        <v>330281050</v>
      </c>
      <c r="P138" s="24">
        <v>182475718.23204419</v>
      </c>
      <c r="Q138" s="163">
        <v>5.2722532644321272E-2</v>
      </c>
      <c r="R138" s="163">
        <v>3.5100614260749563E-2</v>
      </c>
      <c r="S138" s="163">
        <v>0.90793702889800576</v>
      </c>
      <c r="T138" s="164">
        <v>4.239824196923446E-3</v>
      </c>
      <c r="U138" s="6"/>
    </row>
    <row r="139" spans="2:21" ht="12.5" x14ac:dyDescent="0.25">
      <c r="B139" s="40" t="s">
        <v>323</v>
      </c>
      <c r="C139" s="41" t="s">
        <v>179</v>
      </c>
      <c r="D139" s="19" t="s">
        <v>82</v>
      </c>
      <c r="E139" s="19" t="s">
        <v>204</v>
      </c>
      <c r="F139" s="19" t="s">
        <v>23</v>
      </c>
      <c r="G139" s="19" t="s">
        <v>181</v>
      </c>
      <c r="H139" s="20">
        <v>39365</v>
      </c>
      <c r="I139" s="21">
        <v>9</v>
      </c>
      <c r="J139" s="22">
        <v>39370</v>
      </c>
      <c r="K139" s="23">
        <v>10040</v>
      </c>
      <c r="L139" s="23">
        <v>10636</v>
      </c>
      <c r="M139" s="24">
        <v>603000000</v>
      </c>
      <c r="N139" s="24">
        <v>0</v>
      </c>
      <c r="O139" s="24">
        <v>603000000</v>
      </c>
      <c r="P139" s="24">
        <v>333149171.27071822</v>
      </c>
      <c r="Q139" s="163">
        <v>9.7599935107073335E-2</v>
      </c>
      <c r="R139" s="163">
        <v>0.21687780661907852</v>
      </c>
      <c r="S139" s="163">
        <v>0.68289958468526935</v>
      </c>
      <c r="T139" s="164">
        <v>2.6226735885788448E-3</v>
      </c>
      <c r="U139" s="6"/>
    </row>
    <row r="140" spans="2:21" ht="12.5" x14ac:dyDescent="0.25">
      <c r="B140" s="40" t="s">
        <v>324</v>
      </c>
      <c r="C140" s="41" t="s">
        <v>184</v>
      </c>
      <c r="D140" s="19" t="s">
        <v>98</v>
      </c>
      <c r="E140" s="19" t="s">
        <v>202</v>
      </c>
      <c r="F140" s="19" t="s">
        <v>23</v>
      </c>
      <c r="G140" s="19" t="s">
        <v>181</v>
      </c>
      <c r="H140" s="20">
        <v>39371</v>
      </c>
      <c r="I140" s="21">
        <v>33</v>
      </c>
      <c r="J140" s="22">
        <v>39373</v>
      </c>
      <c r="K140" s="23">
        <v>3681</v>
      </c>
      <c r="L140" s="23">
        <v>3875</v>
      </c>
      <c r="M140" s="24">
        <v>288750000</v>
      </c>
      <c r="N140" s="24">
        <v>123750000</v>
      </c>
      <c r="O140" s="24">
        <v>412500000</v>
      </c>
      <c r="P140" s="24">
        <v>227900552.48618785</v>
      </c>
      <c r="Q140" s="163">
        <v>6.445892173913044E-2</v>
      </c>
      <c r="R140" s="163">
        <v>0.13756173913043479</v>
      </c>
      <c r="S140" s="163">
        <v>0.79674782608695649</v>
      </c>
      <c r="T140" s="164">
        <v>1.231513043478261E-3</v>
      </c>
      <c r="U140" s="6"/>
    </row>
    <row r="141" spans="2:21" ht="12.5" x14ac:dyDescent="0.25">
      <c r="B141" s="40" t="s">
        <v>278</v>
      </c>
      <c r="C141" s="41" t="s">
        <v>179</v>
      </c>
      <c r="D141" s="19" t="s">
        <v>87</v>
      </c>
      <c r="E141" s="19" t="s">
        <v>204</v>
      </c>
      <c r="F141" s="19" t="s">
        <v>24</v>
      </c>
      <c r="G141" s="19" t="s">
        <v>181</v>
      </c>
      <c r="H141" s="20">
        <v>39372</v>
      </c>
      <c r="I141" s="21">
        <v>25</v>
      </c>
      <c r="J141" s="22">
        <v>39374</v>
      </c>
      <c r="K141" s="23">
        <v>2294</v>
      </c>
      <c r="L141" s="23">
        <v>2643</v>
      </c>
      <c r="M141" s="24">
        <v>664450000</v>
      </c>
      <c r="N141" s="24">
        <v>0</v>
      </c>
      <c r="O141" s="24">
        <v>664450000</v>
      </c>
      <c r="P141" s="24">
        <v>369138888.8888889</v>
      </c>
      <c r="Q141" s="163">
        <v>3.0928407407407408E-2</v>
      </c>
      <c r="R141" s="163">
        <v>7.591188888888889E-2</v>
      </c>
      <c r="S141" s="163">
        <v>0.6919494074074074</v>
      </c>
      <c r="T141" s="164">
        <v>0.2012102962962963</v>
      </c>
      <c r="U141" s="6"/>
    </row>
    <row r="142" spans="2:21" ht="12.5" x14ac:dyDescent="0.25">
      <c r="B142" s="40" t="s">
        <v>325</v>
      </c>
      <c r="C142" s="41" t="s">
        <v>179</v>
      </c>
      <c r="D142" s="19" t="s">
        <v>114</v>
      </c>
      <c r="E142" s="19" t="s">
        <v>202</v>
      </c>
      <c r="F142" s="19" t="s">
        <v>23</v>
      </c>
      <c r="G142" s="19" t="s">
        <v>181</v>
      </c>
      <c r="H142" s="20">
        <v>39373</v>
      </c>
      <c r="I142" s="21">
        <v>10</v>
      </c>
      <c r="J142" s="22">
        <v>39377</v>
      </c>
      <c r="K142" s="23">
        <v>13012</v>
      </c>
      <c r="L142" s="23">
        <v>13733</v>
      </c>
      <c r="M142" s="24">
        <v>506000000</v>
      </c>
      <c r="N142" s="24">
        <v>0</v>
      </c>
      <c r="O142" s="24">
        <v>506000000</v>
      </c>
      <c r="P142" s="24">
        <v>278021978.02197802</v>
      </c>
      <c r="Q142" s="163">
        <v>8.9357351778656127E-2</v>
      </c>
      <c r="R142" s="163">
        <v>0.26814037549407116</v>
      </c>
      <c r="S142" s="163">
        <v>0.63801079051383403</v>
      </c>
      <c r="T142" s="164">
        <v>4.4914822134387352E-3</v>
      </c>
      <c r="U142" s="6"/>
    </row>
    <row r="143" spans="2:21" ht="12.5" x14ac:dyDescent="0.25">
      <c r="B143" s="40" t="s">
        <v>264</v>
      </c>
      <c r="C143" s="41" t="s">
        <v>179</v>
      </c>
      <c r="D143" s="19" t="s">
        <v>82</v>
      </c>
      <c r="E143" s="19" t="s">
        <v>180</v>
      </c>
      <c r="F143" s="19" t="s">
        <v>24</v>
      </c>
      <c r="G143" s="19" t="s">
        <v>181</v>
      </c>
      <c r="H143" s="20">
        <v>39377</v>
      </c>
      <c r="I143" s="21">
        <v>25</v>
      </c>
      <c r="J143" s="22">
        <v>39378</v>
      </c>
      <c r="K143" s="23">
        <v>931</v>
      </c>
      <c r="L143" s="23">
        <v>1062</v>
      </c>
      <c r="M143" s="24">
        <v>575000000</v>
      </c>
      <c r="N143" s="24">
        <v>0</v>
      </c>
      <c r="O143" s="24">
        <v>575000000</v>
      </c>
      <c r="P143" s="24">
        <v>319444444.44444442</v>
      </c>
      <c r="Q143" s="163">
        <v>6.0863130434782607E-2</v>
      </c>
      <c r="R143" s="163">
        <v>0.24528152173913043</v>
      </c>
      <c r="S143" s="163">
        <v>0.60593360869565216</v>
      </c>
      <c r="T143" s="164">
        <v>8.7921739130434787E-2</v>
      </c>
      <c r="U143" s="6"/>
    </row>
    <row r="144" spans="2:21" ht="12.5" x14ac:dyDescent="0.25">
      <c r="B144" s="40" t="s">
        <v>326</v>
      </c>
      <c r="C144" s="41" t="s">
        <v>240</v>
      </c>
      <c r="D144" s="19" t="s">
        <v>115</v>
      </c>
      <c r="E144" s="19" t="s">
        <v>202</v>
      </c>
      <c r="F144" s="19" t="s">
        <v>23</v>
      </c>
      <c r="G144" s="19" t="s">
        <v>181</v>
      </c>
      <c r="H144" s="20">
        <v>39378</v>
      </c>
      <c r="I144" s="21">
        <v>10.4</v>
      </c>
      <c r="J144" s="22">
        <v>39380</v>
      </c>
      <c r="K144" s="23">
        <v>799</v>
      </c>
      <c r="L144" s="23">
        <v>908</v>
      </c>
      <c r="M144" s="24">
        <v>666187454.39999998</v>
      </c>
      <c r="N144" s="24">
        <v>0</v>
      </c>
      <c r="O144" s="24">
        <v>666187454.39999998</v>
      </c>
      <c r="P144" s="24">
        <v>372379795.64002234</v>
      </c>
      <c r="Q144" s="163">
        <v>9.2767354635136332E-3</v>
      </c>
      <c r="R144" s="163">
        <v>2.572742621386653E-2</v>
      </c>
      <c r="S144" s="163">
        <v>0.87839274994554739</v>
      </c>
      <c r="T144" s="164">
        <v>8.6603088377072535E-2</v>
      </c>
      <c r="U144" s="6"/>
    </row>
    <row r="145" spans="2:21" ht="12.5" x14ac:dyDescent="0.25">
      <c r="B145" s="40" t="s">
        <v>327</v>
      </c>
      <c r="C145" s="41" t="s">
        <v>179</v>
      </c>
      <c r="D145" s="19" t="s">
        <v>109</v>
      </c>
      <c r="E145" s="19" t="s">
        <v>202</v>
      </c>
      <c r="F145" s="19" t="s">
        <v>23</v>
      </c>
      <c r="G145" s="19" t="s">
        <v>181</v>
      </c>
      <c r="H145" s="20">
        <v>39379</v>
      </c>
      <c r="I145" s="21">
        <v>23</v>
      </c>
      <c r="J145" s="22">
        <v>39381</v>
      </c>
      <c r="K145" s="23">
        <v>63929</v>
      </c>
      <c r="L145" s="23">
        <v>67914</v>
      </c>
      <c r="M145" s="24">
        <v>0</v>
      </c>
      <c r="N145" s="24">
        <v>6625520875</v>
      </c>
      <c r="O145" s="24">
        <v>6625520875</v>
      </c>
      <c r="P145" s="24">
        <v>3733108448.8393059</v>
      </c>
      <c r="Q145" s="163">
        <v>8.9246342311162061E-2</v>
      </c>
      <c r="R145" s="163">
        <v>0.12731819126598104</v>
      </c>
      <c r="S145" s="163">
        <v>0.78023958214455102</v>
      </c>
      <c r="T145" s="164">
        <v>3.1958842783058926E-3</v>
      </c>
      <c r="U145" s="6"/>
    </row>
    <row r="146" spans="2:21" ht="12.5" x14ac:dyDescent="0.25">
      <c r="B146" s="40" t="s">
        <v>328</v>
      </c>
      <c r="C146" s="41" t="s">
        <v>179</v>
      </c>
      <c r="D146" s="19" t="s">
        <v>87</v>
      </c>
      <c r="E146" s="19" t="s">
        <v>202</v>
      </c>
      <c r="F146" s="19" t="s">
        <v>23</v>
      </c>
      <c r="G146" s="19" t="s">
        <v>181</v>
      </c>
      <c r="H146" s="20">
        <v>39380</v>
      </c>
      <c r="I146" s="21">
        <v>950</v>
      </c>
      <c r="J146" s="22">
        <v>39384</v>
      </c>
      <c r="K146" s="23">
        <v>13</v>
      </c>
      <c r="L146" s="23">
        <v>130</v>
      </c>
      <c r="M146" s="24">
        <v>304017100</v>
      </c>
      <c r="N146" s="24">
        <v>395087900</v>
      </c>
      <c r="O146" s="24">
        <v>699105000</v>
      </c>
      <c r="P146" s="24">
        <v>397218750</v>
      </c>
      <c r="Q146" s="163">
        <v>5.2996331023236849E-3</v>
      </c>
      <c r="R146" s="163">
        <v>1.4841690447071614E-2</v>
      </c>
      <c r="S146" s="163">
        <v>0.97985867645060465</v>
      </c>
      <c r="T146" s="164">
        <v>0</v>
      </c>
      <c r="U146" s="6"/>
    </row>
    <row r="147" spans="2:21" ht="12.5" x14ac:dyDescent="0.25">
      <c r="B147" s="40" t="s">
        <v>329</v>
      </c>
      <c r="C147" s="41" t="s">
        <v>179</v>
      </c>
      <c r="D147" s="19" t="s">
        <v>68</v>
      </c>
      <c r="E147" s="19" t="s">
        <v>202</v>
      </c>
      <c r="F147" s="19" t="s">
        <v>23</v>
      </c>
      <c r="G147" s="19" t="s">
        <v>181</v>
      </c>
      <c r="H147" s="20">
        <v>39380</v>
      </c>
      <c r="I147" s="21">
        <v>14</v>
      </c>
      <c r="J147" s="22">
        <v>39384</v>
      </c>
      <c r="K147" s="23">
        <v>4340</v>
      </c>
      <c r="L147" s="23">
        <v>4675</v>
      </c>
      <c r="M147" s="24">
        <v>994700000</v>
      </c>
      <c r="N147" s="24">
        <v>406000000</v>
      </c>
      <c r="O147" s="24">
        <v>1400700000</v>
      </c>
      <c r="P147" s="24">
        <v>795852272.72727275</v>
      </c>
      <c r="Q147" s="163">
        <v>3.8417471264367814E-2</v>
      </c>
      <c r="R147" s="163">
        <v>0.15639552223888056</v>
      </c>
      <c r="S147" s="163">
        <v>0.80452467766116942</v>
      </c>
      <c r="T147" s="164">
        <v>6.623288355822089E-4</v>
      </c>
      <c r="U147" s="6"/>
    </row>
    <row r="148" spans="2:21" ht="12.5" x14ac:dyDescent="0.25">
      <c r="B148" s="40" t="s">
        <v>330</v>
      </c>
      <c r="C148" s="41" t="s">
        <v>179</v>
      </c>
      <c r="D148" s="19" t="s">
        <v>82</v>
      </c>
      <c r="E148" s="19" t="s">
        <v>190</v>
      </c>
      <c r="F148" s="19" t="s">
        <v>23</v>
      </c>
      <c r="G148" s="19" t="s">
        <v>181</v>
      </c>
      <c r="H148" s="20">
        <v>39379</v>
      </c>
      <c r="I148" s="21">
        <v>11</v>
      </c>
      <c r="J148" s="22">
        <v>39384</v>
      </c>
      <c r="K148" s="23">
        <v>709</v>
      </c>
      <c r="L148" s="23">
        <v>845</v>
      </c>
      <c r="M148" s="24">
        <v>251832053</v>
      </c>
      <c r="N148" s="24">
        <v>0</v>
      </c>
      <c r="O148" s="24">
        <v>251832053</v>
      </c>
      <c r="P148" s="24">
        <v>143086393.75</v>
      </c>
      <c r="Q148" s="163">
        <v>6.4511614699428538E-2</v>
      </c>
      <c r="R148" s="163">
        <v>0.34599387067754239</v>
      </c>
      <c r="S148" s="163">
        <v>0.55525000428967808</v>
      </c>
      <c r="T148" s="164">
        <v>3.4244510333350985E-2</v>
      </c>
      <c r="U148" s="6"/>
    </row>
    <row r="149" spans="2:21" ht="12.5" x14ac:dyDescent="0.25">
      <c r="B149" s="40" t="s">
        <v>331</v>
      </c>
      <c r="C149" s="41" t="s">
        <v>240</v>
      </c>
      <c r="D149" s="19" t="s">
        <v>116</v>
      </c>
      <c r="E149" s="19" t="s">
        <v>180</v>
      </c>
      <c r="F149" s="19" t="s">
        <v>23</v>
      </c>
      <c r="G149" s="19" t="s">
        <v>181</v>
      </c>
      <c r="H149" s="20">
        <v>39381</v>
      </c>
      <c r="I149" s="21">
        <v>7.5</v>
      </c>
      <c r="J149" s="22">
        <v>39386</v>
      </c>
      <c r="K149" s="23">
        <v>556</v>
      </c>
      <c r="L149" s="23">
        <v>706</v>
      </c>
      <c r="M149" s="24">
        <v>507611107.5</v>
      </c>
      <c r="N149" s="24">
        <v>0</v>
      </c>
      <c r="O149" s="24">
        <v>507611107.5</v>
      </c>
      <c r="P149" s="24">
        <v>291730521.55172414</v>
      </c>
      <c r="Q149" s="163">
        <v>8.3484727528347086E-3</v>
      </c>
      <c r="R149" s="163">
        <v>0.26550742883418876</v>
      </c>
      <c r="S149" s="163">
        <v>0.72549238395064075</v>
      </c>
      <c r="T149" s="164">
        <v>6.5171446233571633E-4</v>
      </c>
      <c r="U149" s="6"/>
    </row>
    <row r="150" spans="2:21" ht="12.5" x14ac:dyDescent="0.25">
      <c r="B150" s="40" t="s">
        <v>332</v>
      </c>
      <c r="C150" s="41" t="s">
        <v>189</v>
      </c>
      <c r="D150" s="19" t="s">
        <v>72</v>
      </c>
      <c r="E150" s="19" t="s">
        <v>180</v>
      </c>
      <c r="F150" s="19" t="s">
        <v>23</v>
      </c>
      <c r="G150" s="19" t="s">
        <v>181</v>
      </c>
      <c r="H150" s="20">
        <v>39399</v>
      </c>
      <c r="I150" s="21">
        <v>10</v>
      </c>
      <c r="J150" s="22">
        <v>39405</v>
      </c>
      <c r="K150" s="23">
        <v>21044</v>
      </c>
      <c r="L150" s="23">
        <v>21792</v>
      </c>
      <c r="M150" s="24">
        <v>700426000</v>
      </c>
      <c r="N150" s="24">
        <v>0</v>
      </c>
      <c r="O150" s="24">
        <v>700426000</v>
      </c>
      <c r="P150" s="24">
        <v>397969318.18181819</v>
      </c>
      <c r="Q150" s="163">
        <v>0.10352751008977844</v>
      </c>
      <c r="R150" s="163">
        <v>0.22404301540235566</v>
      </c>
      <c r="S150" s="163">
        <v>0.6705939584877687</v>
      </c>
      <c r="T150" s="164">
        <v>1.8355160200971914E-3</v>
      </c>
      <c r="U150" s="6"/>
    </row>
    <row r="151" spans="2:21" ht="12.5" x14ac:dyDescent="0.25">
      <c r="B151" s="40" t="s">
        <v>333</v>
      </c>
      <c r="C151" s="41" t="s">
        <v>179</v>
      </c>
      <c r="D151" s="19" t="s">
        <v>109</v>
      </c>
      <c r="E151" s="19" t="s">
        <v>190</v>
      </c>
      <c r="F151" s="19" t="s">
        <v>23</v>
      </c>
      <c r="G151" s="19" t="s">
        <v>181</v>
      </c>
      <c r="H151" s="20">
        <v>39414</v>
      </c>
      <c r="I151" s="21">
        <v>20</v>
      </c>
      <c r="J151" s="22">
        <v>39416</v>
      </c>
      <c r="K151" s="23">
        <v>253707</v>
      </c>
      <c r="L151" s="23">
        <v>260946</v>
      </c>
      <c r="M151" s="24">
        <v>0</v>
      </c>
      <c r="N151" s="24">
        <v>5983696920</v>
      </c>
      <c r="O151" s="24">
        <v>5983696920</v>
      </c>
      <c r="P151" s="24">
        <v>3361627483.1460671</v>
      </c>
      <c r="Q151" s="163">
        <v>9.9923018828299875E-2</v>
      </c>
      <c r="R151" s="163">
        <v>0.1218459607409394</v>
      </c>
      <c r="S151" s="163">
        <v>0.77356249186497905</v>
      </c>
      <c r="T151" s="164">
        <v>4.6685285657817044E-3</v>
      </c>
      <c r="U151" s="6"/>
    </row>
    <row r="152" spans="2:21" ht="12.5" x14ac:dyDescent="0.25">
      <c r="B152" s="40" t="s">
        <v>334</v>
      </c>
      <c r="C152" s="41" t="s">
        <v>179</v>
      </c>
      <c r="D152" s="19" t="s">
        <v>65</v>
      </c>
      <c r="E152" s="19" t="s">
        <v>180</v>
      </c>
      <c r="F152" s="19" t="s">
        <v>23</v>
      </c>
      <c r="G152" s="19" t="s">
        <v>181</v>
      </c>
      <c r="H152" s="20">
        <v>39428</v>
      </c>
      <c r="I152" s="21">
        <v>1006.63</v>
      </c>
      <c r="J152" s="22">
        <v>39430</v>
      </c>
      <c r="K152" s="23">
        <v>148</v>
      </c>
      <c r="L152" s="23">
        <v>325</v>
      </c>
      <c r="M152" s="24">
        <v>2035409886.52</v>
      </c>
      <c r="N152" s="24">
        <v>0</v>
      </c>
      <c r="O152" s="24">
        <v>2035409886.52</v>
      </c>
      <c r="P152" s="24">
        <v>1133617313.5728209</v>
      </c>
      <c r="Q152" s="163">
        <v>2.1324128581503527E-2</v>
      </c>
      <c r="R152" s="163">
        <v>8.8957495167413941E-2</v>
      </c>
      <c r="S152" s="163">
        <v>0.71427266382375398</v>
      </c>
      <c r="T152" s="164">
        <v>0.17544571242732848</v>
      </c>
      <c r="U152" s="6"/>
    </row>
    <row r="153" spans="2:21" ht="12.5" x14ac:dyDescent="0.25">
      <c r="B153" s="40" t="s">
        <v>255</v>
      </c>
      <c r="C153" s="41" t="s">
        <v>179</v>
      </c>
      <c r="D153" s="19" t="s">
        <v>91</v>
      </c>
      <c r="E153" s="19" t="s">
        <v>202</v>
      </c>
      <c r="F153" s="19" t="s">
        <v>24</v>
      </c>
      <c r="G153" s="19" t="s">
        <v>181</v>
      </c>
      <c r="H153" s="20">
        <v>39428</v>
      </c>
      <c r="I153" s="21">
        <v>45</v>
      </c>
      <c r="J153" s="22">
        <v>39430</v>
      </c>
      <c r="K153" s="23">
        <v>13888</v>
      </c>
      <c r="L153" s="23">
        <v>14688</v>
      </c>
      <c r="M153" s="24">
        <v>933489000</v>
      </c>
      <c r="N153" s="24">
        <v>0</v>
      </c>
      <c r="O153" s="24">
        <v>933489000</v>
      </c>
      <c r="P153" s="24">
        <v>519904761.90476185</v>
      </c>
      <c r="Q153" s="163">
        <v>9.8723608695652179E-2</v>
      </c>
      <c r="R153" s="163">
        <v>0.5772429130434783</v>
      </c>
      <c r="S153" s="163">
        <v>0.26474652173913044</v>
      </c>
      <c r="T153" s="164">
        <v>5.9286956521739133E-2</v>
      </c>
      <c r="U153" s="6"/>
    </row>
    <row r="154" spans="2:21" ht="12.5" x14ac:dyDescent="0.25">
      <c r="B154" s="40" t="s">
        <v>242</v>
      </c>
      <c r="C154" s="41" t="s">
        <v>179</v>
      </c>
      <c r="D154" s="19" t="s">
        <v>72</v>
      </c>
      <c r="E154" s="19" t="s">
        <v>243</v>
      </c>
      <c r="F154" s="19" t="s">
        <v>24</v>
      </c>
      <c r="G154" s="19" t="s">
        <v>181</v>
      </c>
      <c r="H154" s="20">
        <v>39429</v>
      </c>
      <c r="I154" s="21">
        <v>29.25</v>
      </c>
      <c r="J154" s="22">
        <v>39433</v>
      </c>
      <c r="K154" s="23">
        <v>115013</v>
      </c>
      <c r="L154" s="23">
        <v>122023</v>
      </c>
      <c r="M154" s="24">
        <v>0</v>
      </c>
      <c r="N154" s="24">
        <v>3443996702.25</v>
      </c>
      <c r="O154" s="24">
        <v>3443996702.25</v>
      </c>
      <c r="P154" s="24">
        <v>1900765330.4542193</v>
      </c>
      <c r="Q154" s="163">
        <v>0.36502331250163439</v>
      </c>
      <c r="R154" s="163">
        <v>0.17009455224428272</v>
      </c>
      <c r="S154" s="163">
        <v>0.43541776840852087</v>
      </c>
      <c r="T154" s="164">
        <v>2.9464366845562071E-2</v>
      </c>
      <c r="U154" s="6"/>
    </row>
    <row r="155" spans="2:21" ht="13" thickBot="1" x14ac:dyDescent="0.3">
      <c r="B155" s="30" t="s">
        <v>335</v>
      </c>
      <c r="C155" s="31" t="s">
        <v>179</v>
      </c>
      <c r="D155" s="31" t="s">
        <v>68</v>
      </c>
      <c r="E155" s="31" t="s">
        <v>180</v>
      </c>
      <c r="F155" s="31" t="s">
        <v>23</v>
      </c>
      <c r="G155" s="31" t="s">
        <v>181</v>
      </c>
      <c r="H155" s="32">
        <v>39433</v>
      </c>
      <c r="I155" s="33">
        <v>7</v>
      </c>
      <c r="J155" s="34">
        <v>39435</v>
      </c>
      <c r="K155" s="35">
        <v>3791</v>
      </c>
      <c r="L155" s="35">
        <v>3938</v>
      </c>
      <c r="M155" s="36">
        <v>393750000</v>
      </c>
      <c r="N155" s="36">
        <v>26045600</v>
      </c>
      <c r="O155" s="36">
        <v>419795600</v>
      </c>
      <c r="P155" s="36">
        <v>233025589.78628919</v>
      </c>
      <c r="Q155" s="165">
        <v>8.6450086956521732E-2</v>
      </c>
      <c r="R155" s="165">
        <v>6.7374716908212562E-2</v>
      </c>
      <c r="S155" s="165">
        <v>0.83723370048309176</v>
      </c>
      <c r="T155" s="166">
        <v>8.9414956521739128E-3</v>
      </c>
      <c r="U155" s="6"/>
    </row>
    <row r="156" spans="2:21" ht="13" thickTop="1" x14ac:dyDescent="0.25">
      <c r="B156" s="40" t="s">
        <v>336</v>
      </c>
      <c r="C156" s="41" t="s">
        <v>337</v>
      </c>
      <c r="D156" s="171" t="s">
        <v>99</v>
      </c>
      <c r="E156" s="171" t="s">
        <v>338</v>
      </c>
      <c r="F156" s="172" t="s">
        <v>23</v>
      </c>
      <c r="G156" s="2" t="s">
        <v>181</v>
      </c>
      <c r="H156" s="42">
        <v>39489</v>
      </c>
      <c r="I156" s="43">
        <v>10</v>
      </c>
      <c r="J156" s="173">
        <v>39491</v>
      </c>
      <c r="K156" s="174">
        <v>1</v>
      </c>
      <c r="L156" s="174">
        <v>8</v>
      </c>
      <c r="M156" s="175">
        <v>20701000</v>
      </c>
      <c r="N156" s="175">
        <v>0</v>
      </c>
      <c r="O156" s="175">
        <v>20701000</v>
      </c>
      <c r="P156" s="175">
        <v>11859639.071899168</v>
      </c>
      <c r="Q156" s="167">
        <v>0.36713202260760347</v>
      </c>
      <c r="R156" s="167">
        <v>0.25607458576880343</v>
      </c>
      <c r="S156" s="167">
        <v>0.10627505917588523</v>
      </c>
      <c r="T156" s="168">
        <v>0.27051833244770784</v>
      </c>
      <c r="U156" s="6"/>
    </row>
    <row r="157" spans="2:21" ht="12.5" x14ac:dyDescent="0.25">
      <c r="B157" s="40" t="s">
        <v>239</v>
      </c>
      <c r="C157" s="41" t="s">
        <v>240</v>
      </c>
      <c r="D157" s="176" t="s">
        <v>75</v>
      </c>
      <c r="E157" s="176" t="s">
        <v>202</v>
      </c>
      <c r="F157" s="176" t="s">
        <v>24</v>
      </c>
      <c r="G157" s="19" t="s">
        <v>181</v>
      </c>
      <c r="H157" s="20">
        <v>39500</v>
      </c>
      <c r="I157" s="21">
        <v>59</v>
      </c>
      <c r="J157" s="177">
        <v>39504</v>
      </c>
      <c r="K157" s="178">
        <v>48</v>
      </c>
      <c r="L157" s="178">
        <v>159</v>
      </c>
      <c r="M157" s="179">
        <v>366707007</v>
      </c>
      <c r="N157" s="179">
        <v>0</v>
      </c>
      <c r="O157" s="179">
        <v>366707007</v>
      </c>
      <c r="P157" s="179">
        <v>217269230.35904729</v>
      </c>
      <c r="Q157" s="163">
        <v>4.974906574392237E-2</v>
      </c>
      <c r="R157" s="163">
        <v>6.8729101214038163E-2</v>
      </c>
      <c r="S157" s="163">
        <v>0.87732256776866002</v>
      </c>
      <c r="T157" s="164">
        <v>4.1992652733794092E-3</v>
      </c>
      <c r="U157" s="6"/>
    </row>
    <row r="158" spans="2:21" ht="12.5" x14ac:dyDescent="0.25">
      <c r="B158" s="40" t="s">
        <v>302</v>
      </c>
      <c r="C158" s="41" t="s">
        <v>179</v>
      </c>
      <c r="D158" s="176" t="s">
        <v>109</v>
      </c>
      <c r="E158" s="176" t="s">
        <v>339</v>
      </c>
      <c r="F158" s="176" t="s">
        <v>24</v>
      </c>
      <c r="G158" s="19" t="s">
        <v>181</v>
      </c>
      <c r="H158" s="20">
        <v>39519</v>
      </c>
      <c r="I158" s="21">
        <v>26</v>
      </c>
      <c r="J158" s="177">
        <v>39521</v>
      </c>
      <c r="K158" s="178">
        <v>7218</v>
      </c>
      <c r="L158" s="178">
        <v>7714</v>
      </c>
      <c r="M158" s="179">
        <v>0</v>
      </c>
      <c r="N158" s="179">
        <v>1216703202</v>
      </c>
      <c r="O158" s="179">
        <v>1216703202</v>
      </c>
      <c r="P158" s="179">
        <v>718115565.13014233</v>
      </c>
      <c r="Q158" s="163">
        <v>8.1552876524771403E-2</v>
      </c>
      <c r="R158" s="163">
        <v>0.12009384849140883</v>
      </c>
      <c r="S158" s="163">
        <v>0.79656163673020397</v>
      </c>
      <c r="T158" s="164">
        <v>1.7916382536157737E-3</v>
      </c>
      <c r="U158" s="6"/>
    </row>
    <row r="159" spans="2:21" ht="12.5" x14ac:dyDescent="0.25">
      <c r="B159" s="40" t="s">
        <v>340</v>
      </c>
      <c r="C159" s="41" t="s">
        <v>179</v>
      </c>
      <c r="D159" s="176" t="s">
        <v>74</v>
      </c>
      <c r="E159" s="176" t="s">
        <v>339</v>
      </c>
      <c r="F159" s="176" t="s">
        <v>23</v>
      </c>
      <c r="G159" s="19" t="s">
        <v>181</v>
      </c>
      <c r="H159" s="20">
        <v>39554</v>
      </c>
      <c r="I159" s="21">
        <v>17</v>
      </c>
      <c r="J159" s="177">
        <v>39556</v>
      </c>
      <c r="K159" s="178">
        <v>12933</v>
      </c>
      <c r="L159" s="178">
        <v>13465</v>
      </c>
      <c r="M159" s="179">
        <v>612390099</v>
      </c>
      <c r="N159" s="179">
        <v>0</v>
      </c>
      <c r="O159" s="179">
        <v>612390099</v>
      </c>
      <c r="P159" s="179">
        <v>366700658.08383232</v>
      </c>
      <c r="Q159" s="163">
        <v>9.8651726334894788E-2</v>
      </c>
      <c r="R159" s="163">
        <v>1.5599772666556249E-2</v>
      </c>
      <c r="S159" s="163">
        <v>0.85081234252812543</v>
      </c>
      <c r="T159" s="164">
        <v>3.4936158470423563E-2</v>
      </c>
      <c r="U159" s="6"/>
    </row>
    <row r="160" spans="2:21" ht="12.5" x14ac:dyDescent="0.25">
      <c r="B160" s="40" t="s">
        <v>274</v>
      </c>
      <c r="C160" s="41" t="s">
        <v>184</v>
      </c>
      <c r="D160" s="176" t="s">
        <v>98</v>
      </c>
      <c r="E160" s="176" t="s">
        <v>202</v>
      </c>
      <c r="F160" s="176" t="s">
        <v>24</v>
      </c>
      <c r="G160" s="19" t="s">
        <v>181</v>
      </c>
      <c r="H160" s="20">
        <v>39560</v>
      </c>
      <c r="I160" s="21">
        <v>26</v>
      </c>
      <c r="J160" s="177">
        <v>39561</v>
      </c>
      <c r="K160" s="178">
        <v>1064</v>
      </c>
      <c r="L160" s="178">
        <v>1207</v>
      </c>
      <c r="M160" s="179">
        <v>508300000</v>
      </c>
      <c r="N160" s="179">
        <v>0</v>
      </c>
      <c r="O160" s="179">
        <v>508300000</v>
      </c>
      <c r="P160" s="179">
        <v>304371257.48502994</v>
      </c>
      <c r="Q160" s="163">
        <v>3.9412327365728902E-2</v>
      </c>
      <c r="R160" s="163">
        <v>7.6726342710997447E-4</v>
      </c>
      <c r="S160" s="163">
        <v>0.9575172890025575</v>
      </c>
      <c r="T160" s="164">
        <v>2.3031202046035807E-3</v>
      </c>
      <c r="U160" s="6"/>
    </row>
    <row r="161" spans="2:21" ht="12.5" x14ac:dyDescent="0.25">
      <c r="B161" s="40" t="s">
        <v>224</v>
      </c>
      <c r="C161" s="41" t="s">
        <v>179</v>
      </c>
      <c r="D161" s="176" t="s">
        <v>67</v>
      </c>
      <c r="E161" s="176" t="s">
        <v>243</v>
      </c>
      <c r="F161" s="176" t="s">
        <v>24</v>
      </c>
      <c r="G161" s="19" t="s">
        <v>181</v>
      </c>
      <c r="H161" s="20">
        <v>39561</v>
      </c>
      <c r="I161" s="21">
        <v>24.5</v>
      </c>
      <c r="J161" s="177">
        <v>39563</v>
      </c>
      <c r="K161" s="178">
        <v>747</v>
      </c>
      <c r="L161" s="178">
        <v>939</v>
      </c>
      <c r="M161" s="179">
        <v>0</v>
      </c>
      <c r="N161" s="179">
        <v>460024764.5</v>
      </c>
      <c r="O161" s="179">
        <v>460024764.5</v>
      </c>
      <c r="P161" s="179">
        <v>275463930.83832335</v>
      </c>
      <c r="Q161" s="163">
        <v>2.434790768747842E-2</v>
      </c>
      <c r="R161" s="163">
        <v>0.20458305348472169</v>
      </c>
      <c r="S161" s="163">
        <v>0.77085621985031194</v>
      </c>
      <c r="T161" s="164">
        <v>2.1281897748789565E-4</v>
      </c>
      <c r="U161" s="6"/>
    </row>
    <row r="162" spans="2:21" ht="12.5" x14ac:dyDescent="0.25">
      <c r="B162" s="40" t="s">
        <v>199</v>
      </c>
      <c r="C162" s="41" t="s">
        <v>189</v>
      </c>
      <c r="D162" s="176" t="s">
        <v>70</v>
      </c>
      <c r="E162" s="176" t="s">
        <v>204</v>
      </c>
      <c r="F162" s="176" t="s">
        <v>24</v>
      </c>
      <c r="G162" s="19" t="s">
        <v>181</v>
      </c>
      <c r="H162" s="20">
        <v>39562</v>
      </c>
      <c r="I162" s="21">
        <v>60.3</v>
      </c>
      <c r="J162" s="177">
        <v>39566</v>
      </c>
      <c r="K162" s="178">
        <v>9770</v>
      </c>
      <c r="L162" s="178">
        <v>10800</v>
      </c>
      <c r="M162" s="179">
        <v>2900252959.1999998</v>
      </c>
      <c r="N162" s="179">
        <v>0</v>
      </c>
      <c r="O162" s="179">
        <v>2900252959.1999998</v>
      </c>
      <c r="P162" s="179">
        <v>1736678418.6826346</v>
      </c>
      <c r="Q162" s="163">
        <v>8.6270816863166525E-2</v>
      </c>
      <c r="R162" s="163">
        <v>0.11988496844630683</v>
      </c>
      <c r="S162" s="163">
        <v>0.289346850776588</v>
      </c>
      <c r="T162" s="164">
        <v>0.50449736391393873</v>
      </c>
      <c r="U162" s="6"/>
    </row>
    <row r="163" spans="2:21" ht="12.5" x14ac:dyDescent="0.25">
      <c r="B163" s="40" t="s">
        <v>200</v>
      </c>
      <c r="C163" s="41" t="s">
        <v>189</v>
      </c>
      <c r="D163" s="180" t="s">
        <v>70</v>
      </c>
      <c r="E163" s="180" t="s">
        <v>204</v>
      </c>
      <c r="F163" s="180" t="s">
        <v>24</v>
      </c>
      <c r="G163" s="19" t="s">
        <v>181</v>
      </c>
      <c r="H163" s="20">
        <v>39562</v>
      </c>
      <c r="I163" s="21">
        <v>78.349999999999994</v>
      </c>
      <c r="J163" s="181">
        <v>39566</v>
      </c>
      <c r="K163" s="182">
        <v>3238</v>
      </c>
      <c r="L163" s="182">
        <v>3907</v>
      </c>
      <c r="M163" s="183">
        <v>1505181301.55</v>
      </c>
      <c r="N163" s="183">
        <v>0</v>
      </c>
      <c r="O163" s="183">
        <v>1505181301.55</v>
      </c>
      <c r="P163" s="183">
        <v>901306168.59281433</v>
      </c>
      <c r="Q163" s="163">
        <v>0.21396582675346351</v>
      </c>
      <c r="R163" s="163">
        <v>0.35649979155163924</v>
      </c>
      <c r="S163" s="163">
        <v>0.16128203263620991</v>
      </c>
      <c r="T163" s="164">
        <v>0.26825234905868739</v>
      </c>
      <c r="U163" s="6"/>
    </row>
    <row r="164" spans="2:21" ht="12.5" x14ac:dyDescent="0.25">
      <c r="B164" s="40" t="s">
        <v>341</v>
      </c>
      <c r="C164" s="41" t="s">
        <v>179</v>
      </c>
      <c r="D164" s="180" t="s">
        <v>114</v>
      </c>
      <c r="E164" s="180" t="s">
        <v>194</v>
      </c>
      <c r="F164" s="180" t="s">
        <v>23</v>
      </c>
      <c r="G164" s="19" t="s">
        <v>181</v>
      </c>
      <c r="H164" s="20">
        <v>39563</v>
      </c>
      <c r="I164" s="21">
        <v>6.75</v>
      </c>
      <c r="J164" s="181">
        <v>39567</v>
      </c>
      <c r="K164" s="182">
        <v>270</v>
      </c>
      <c r="L164" s="182">
        <v>318</v>
      </c>
      <c r="M164" s="183">
        <v>150187500</v>
      </c>
      <c r="N164" s="183">
        <v>0</v>
      </c>
      <c r="O164" s="183">
        <v>150187500</v>
      </c>
      <c r="P164" s="183">
        <v>87828947.368421048</v>
      </c>
      <c r="Q164" s="163">
        <v>1.1775909156245509E-2</v>
      </c>
      <c r="R164" s="163">
        <v>5.7334541396346413E-3</v>
      </c>
      <c r="S164" s="163">
        <v>0.86861830215464819</v>
      </c>
      <c r="T164" s="164">
        <v>0.11387233454947164</v>
      </c>
      <c r="U164" s="6"/>
    </row>
    <row r="165" spans="2:21" ht="12.5" x14ac:dyDescent="0.25">
      <c r="B165" s="40" t="s">
        <v>342</v>
      </c>
      <c r="C165" s="41" t="s">
        <v>179</v>
      </c>
      <c r="D165" s="176" t="s">
        <v>92</v>
      </c>
      <c r="E165" s="176" t="s">
        <v>180</v>
      </c>
      <c r="F165" s="176" t="s">
        <v>23</v>
      </c>
      <c r="G165" s="19" t="s">
        <v>181</v>
      </c>
      <c r="H165" s="20">
        <v>39610</v>
      </c>
      <c r="I165" s="21">
        <v>1131</v>
      </c>
      <c r="J165" s="177">
        <v>39612</v>
      </c>
      <c r="K165" s="178">
        <v>1308</v>
      </c>
      <c r="L165" s="178">
        <v>2560</v>
      </c>
      <c r="M165" s="179">
        <v>6711662763</v>
      </c>
      <c r="N165" s="179">
        <v>0</v>
      </c>
      <c r="O165" s="179">
        <v>6711662763</v>
      </c>
      <c r="P165" s="179">
        <v>4101480544.4879003</v>
      </c>
      <c r="Q165" s="163">
        <v>8.0661270554960987E-2</v>
      </c>
      <c r="R165" s="163">
        <v>8.4198182321575027E-2</v>
      </c>
      <c r="S165" s="163">
        <v>0.63463190857582719</v>
      </c>
      <c r="T165" s="164">
        <v>0.20050863854763676</v>
      </c>
      <c r="U165" s="6"/>
    </row>
    <row r="166" spans="2:21" ht="12.5" x14ac:dyDescent="0.25">
      <c r="B166" s="184" t="s">
        <v>293</v>
      </c>
      <c r="C166" s="74" t="s">
        <v>179</v>
      </c>
      <c r="D166" s="176" t="s">
        <v>106</v>
      </c>
      <c r="E166" s="176" t="s">
        <v>202</v>
      </c>
      <c r="F166" s="176" t="s">
        <v>24</v>
      </c>
      <c r="G166" s="19" t="s">
        <v>181</v>
      </c>
      <c r="H166" s="20">
        <v>39624</v>
      </c>
      <c r="I166" s="21">
        <v>27.5</v>
      </c>
      <c r="J166" s="177">
        <v>39626</v>
      </c>
      <c r="K166" s="178">
        <v>2860</v>
      </c>
      <c r="L166" s="178">
        <v>3076</v>
      </c>
      <c r="M166" s="179">
        <v>258431250</v>
      </c>
      <c r="N166" s="179">
        <v>110756222.5</v>
      </c>
      <c r="O166" s="179">
        <v>369187472.5</v>
      </c>
      <c r="P166" s="179">
        <v>229308989.13043478</v>
      </c>
      <c r="Q166" s="163">
        <v>8.4590918777722068E-2</v>
      </c>
      <c r="R166" s="163">
        <v>0.11771352832130565</v>
      </c>
      <c r="S166" s="163">
        <v>0.78270396891649674</v>
      </c>
      <c r="T166" s="164">
        <v>1.499158398447553E-2</v>
      </c>
      <c r="U166" s="6"/>
    </row>
    <row r="167" spans="2:21" ht="13" thickBot="1" x14ac:dyDescent="0.3">
      <c r="B167" s="30" t="s">
        <v>343</v>
      </c>
      <c r="C167" s="31" t="s">
        <v>189</v>
      </c>
      <c r="D167" s="31" t="s">
        <v>88</v>
      </c>
      <c r="E167" s="185" t="s">
        <v>202</v>
      </c>
      <c r="F167" s="186" t="s">
        <v>24</v>
      </c>
      <c r="G167" s="185" t="s">
        <v>181</v>
      </c>
      <c r="H167" s="32">
        <v>39645</v>
      </c>
      <c r="I167" s="33">
        <v>43.575402645544614</v>
      </c>
      <c r="J167" s="187">
        <v>39647</v>
      </c>
      <c r="K167" s="188">
        <v>29608</v>
      </c>
      <c r="L167" s="188">
        <v>32392</v>
      </c>
      <c r="M167" s="189">
        <v>19434193128.68</v>
      </c>
      <c r="N167" s="189">
        <v>0</v>
      </c>
      <c r="O167" s="189">
        <v>19434193128.68</v>
      </c>
      <c r="P167" s="189">
        <v>12222762974.012579</v>
      </c>
      <c r="Q167" s="165">
        <v>4.5506017462490819E-2</v>
      </c>
      <c r="R167" s="165">
        <v>0.14192265358138625</v>
      </c>
      <c r="S167" s="165">
        <v>0.39360010380860933</v>
      </c>
      <c r="T167" s="166">
        <v>0.41897122514751362</v>
      </c>
      <c r="U167" s="6"/>
    </row>
    <row r="168" spans="2:21" ht="13" thickTop="1" x14ac:dyDescent="0.25">
      <c r="B168" s="40" t="s">
        <v>302</v>
      </c>
      <c r="C168" s="41" t="s">
        <v>179</v>
      </c>
      <c r="D168" s="171" t="s">
        <v>109</v>
      </c>
      <c r="E168" s="171" t="s">
        <v>339</v>
      </c>
      <c r="F168" s="172" t="s">
        <v>24</v>
      </c>
      <c r="G168" s="2" t="s">
        <v>181</v>
      </c>
      <c r="H168" s="42">
        <v>39896</v>
      </c>
      <c r="I168" s="43">
        <v>24.5</v>
      </c>
      <c r="J168" s="190">
        <v>39898</v>
      </c>
      <c r="K168" s="191">
        <v>2604</v>
      </c>
      <c r="L168" s="191">
        <v>3435</v>
      </c>
      <c r="M168" s="192">
        <v>0</v>
      </c>
      <c r="N168" s="192">
        <v>2212895370</v>
      </c>
      <c r="O168" s="192">
        <v>2212895370</v>
      </c>
      <c r="P168" s="192">
        <v>989003517.31843579</v>
      </c>
      <c r="Q168" s="167">
        <v>4.2549046049113477E-2</v>
      </c>
      <c r="R168" s="167">
        <v>8.1236895533836284E-2</v>
      </c>
      <c r="S168" s="167">
        <v>0.87399881269578505</v>
      </c>
      <c r="T168" s="168">
        <v>2.2152457212651676E-3</v>
      </c>
      <c r="U168" s="6"/>
    </row>
    <row r="169" spans="2:21" ht="12.5" x14ac:dyDescent="0.25">
      <c r="B169" s="40" t="s">
        <v>307</v>
      </c>
      <c r="C169" s="41" t="s">
        <v>179</v>
      </c>
      <c r="D169" s="19" t="s">
        <v>82</v>
      </c>
      <c r="E169" s="2" t="s">
        <v>180</v>
      </c>
      <c r="F169" s="176" t="s">
        <v>24</v>
      </c>
      <c r="G169" s="19" t="s">
        <v>181</v>
      </c>
      <c r="H169" s="20">
        <v>39987</v>
      </c>
      <c r="I169" s="193">
        <v>24.5</v>
      </c>
      <c r="J169" s="194">
        <v>39989</v>
      </c>
      <c r="K169" s="195">
        <v>1310</v>
      </c>
      <c r="L169" s="195">
        <v>1880</v>
      </c>
      <c r="M169" s="196">
        <v>595350000</v>
      </c>
      <c r="N169" s="196">
        <v>126787500</v>
      </c>
      <c r="O169" s="196">
        <v>722137500</v>
      </c>
      <c r="P169" s="196">
        <v>366567258.88324875</v>
      </c>
      <c r="Q169" s="197">
        <v>6.569669211195929E-2</v>
      </c>
      <c r="R169" s="163">
        <v>0.2333591518235793</v>
      </c>
      <c r="S169" s="163">
        <v>0.70026388464800682</v>
      </c>
      <c r="T169" s="164">
        <v>6.8027141645462261E-4</v>
      </c>
      <c r="U169" s="6"/>
    </row>
    <row r="170" spans="2:21" ht="12.5" x14ac:dyDescent="0.25">
      <c r="B170" s="40" t="s">
        <v>344</v>
      </c>
      <c r="C170" s="41" t="s">
        <v>179</v>
      </c>
      <c r="D170" s="19" t="s">
        <v>109</v>
      </c>
      <c r="E170" s="2" t="s">
        <v>190</v>
      </c>
      <c r="F170" s="176" t="s">
        <v>23</v>
      </c>
      <c r="G170" s="19" t="s">
        <v>181</v>
      </c>
      <c r="H170" s="20">
        <v>39989</v>
      </c>
      <c r="I170" s="193">
        <v>15</v>
      </c>
      <c r="J170" s="194">
        <v>39993</v>
      </c>
      <c r="K170" s="195">
        <v>49037</v>
      </c>
      <c r="L170" s="195">
        <v>52943</v>
      </c>
      <c r="M170" s="196">
        <v>0</v>
      </c>
      <c r="N170" s="196">
        <v>8397208920</v>
      </c>
      <c r="O170" s="196">
        <v>8397208920</v>
      </c>
      <c r="P170" s="196">
        <v>4309133740.4423456</v>
      </c>
      <c r="Q170" s="197">
        <v>8.0373646937916127E-2</v>
      </c>
      <c r="R170" s="163">
        <v>0.14649857193263688</v>
      </c>
      <c r="S170" s="163">
        <v>0.56537766241500154</v>
      </c>
      <c r="T170" s="164">
        <v>0.20775011871444543</v>
      </c>
      <c r="U170" s="6"/>
    </row>
    <row r="171" spans="2:21" ht="12.5" x14ac:dyDescent="0.25">
      <c r="B171" s="40" t="s">
        <v>278</v>
      </c>
      <c r="C171" s="41" t="s">
        <v>179</v>
      </c>
      <c r="D171" s="19" t="s">
        <v>87</v>
      </c>
      <c r="E171" s="2" t="s">
        <v>204</v>
      </c>
      <c r="F171" s="176" t="s">
        <v>24</v>
      </c>
      <c r="G171" s="19" t="s">
        <v>181</v>
      </c>
      <c r="H171" s="20">
        <v>39995</v>
      </c>
      <c r="I171" s="193">
        <v>15</v>
      </c>
      <c r="J171" s="194">
        <v>39997</v>
      </c>
      <c r="K171" s="195">
        <v>2716</v>
      </c>
      <c r="L171" s="195">
        <v>3397</v>
      </c>
      <c r="M171" s="196">
        <v>454270140</v>
      </c>
      <c r="N171" s="196">
        <v>381586905</v>
      </c>
      <c r="O171" s="196">
        <v>835857045</v>
      </c>
      <c r="P171" s="196">
        <v>429216927.69846976</v>
      </c>
      <c r="Q171" s="197">
        <v>8.4659440777938286E-2</v>
      </c>
      <c r="R171" s="163">
        <v>0.12190266339144154</v>
      </c>
      <c r="S171" s="163">
        <v>0.78959991298512056</v>
      </c>
      <c r="T171" s="164">
        <v>3.8379828454996154E-3</v>
      </c>
      <c r="U171" s="6"/>
    </row>
    <row r="172" spans="2:21" ht="12.5" x14ac:dyDescent="0.25">
      <c r="B172" s="40" t="s">
        <v>345</v>
      </c>
      <c r="C172" s="41" t="s">
        <v>179</v>
      </c>
      <c r="D172" s="19" t="s">
        <v>65</v>
      </c>
      <c r="E172" s="2" t="s">
        <v>204</v>
      </c>
      <c r="F172" s="176" t="s">
        <v>24</v>
      </c>
      <c r="G172" s="19" t="s">
        <v>181</v>
      </c>
      <c r="H172" s="20">
        <v>40007</v>
      </c>
      <c r="I172" s="193">
        <v>24</v>
      </c>
      <c r="J172" s="194">
        <v>40009</v>
      </c>
      <c r="K172" s="195">
        <v>4294</v>
      </c>
      <c r="L172" s="195">
        <v>4871</v>
      </c>
      <c r="M172" s="196">
        <v>0</v>
      </c>
      <c r="N172" s="196">
        <v>772091520</v>
      </c>
      <c r="O172" s="196">
        <v>772091520</v>
      </c>
      <c r="P172" s="196">
        <v>391845066.99147385</v>
      </c>
      <c r="Q172" s="197">
        <v>0.18109801283661295</v>
      </c>
      <c r="R172" s="163">
        <v>0.34028286180374057</v>
      </c>
      <c r="S172" s="163">
        <v>0.47355159139683339</v>
      </c>
      <c r="T172" s="164">
        <v>5.067533962813113E-3</v>
      </c>
      <c r="U172" s="6"/>
    </row>
    <row r="173" spans="2:21" ht="12.5" x14ac:dyDescent="0.25">
      <c r="B173" s="40" t="s">
        <v>340</v>
      </c>
      <c r="C173" s="41" t="s">
        <v>179</v>
      </c>
      <c r="D173" s="19" t="s">
        <v>74</v>
      </c>
      <c r="E173" s="2" t="s">
        <v>339</v>
      </c>
      <c r="F173" s="180" t="s">
        <v>24</v>
      </c>
      <c r="G173" s="19" t="s">
        <v>181</v>
      </c>
      <c r="H173" s="20">
        <v>40008</v>
      </c>
      <c r="I173" s="193">
        <v>23</v>
      </c>
      <c r="J173" s="194">
        <v>40010</v>
      </c>
      <c r="K173" s="195">
        <v>3899</v>
      </c>
      <c r="L173" s="195">
        <v>4442</v>
      </c>
      <c r="M173" s="196">
        <v>563500000</v>
      </c>
      <c r="N173" s="196">
        <v>230000000</v>
      </c>
      <c r="O173" s="196">
        <v>793500000</v>
      </c>
      <c r="P173" s="196">
        <v>408599382.0803296</v>
      </c>
      <c r="Q173" s="197">
        <v>9.0727797101449278E-2</v>
      </c>
      <c r="R173" s="163">
        <v>0.10778799999999999</v>
      </c>
      <c r="S173" s="163">
        <v>0.79804681159420288</v>
      </c>
      <c r="T173" s="164">
        <v>3.4373913043478262E-3</v>
      </c>
      <c r="U173" s="6"/>
    </row>
    <row r="174" spans="2:21" ht="12.5" x14ac:dyDescent="0.25">
      <c r="B174" s="40" t="s">
        <v>346</v>
      </c>
      <c r="C174" s="41" t="s">
        <v>179</v>
      </c>
      <c r="D174" s="19" t="s">
        <v>91</v>
      </c>
      <c r="E174" s="2" t="s">
        <v>180</v>
      </c>
      <c r="F174" s="180" t="s">
        <v>24</v>
      </c>
      <c r="G174" s="19" t="s">
        <v>181</v>
      </c>
      <c r="H174" s="20">
        <v>40015</v>
      </c>
      <c r="I174" s="193">
        <v>40</v>
      </c>
      <c r="J174" s="194">
        <v>40017</v>
      </c>
      <c r="K174" s="195">
        <v>13211</v>
      </c>
      <c r="L174" s="195">
        <v>14783</v>
      </c>
      <c r="M174" s="196">
        <v>5290000000</v>
      </c>
      <c r="N174" s="196">
        <v>0</v>
      </c>
      <c r="O174" s="196">
        <v>5290000000</v>
      </c>
      <c r="P174" s="196">
        <v>2779967418.1512427</v>
      </c>
      <c r="Q174" s="197">
        <v>5.7905534971644614E-2</v>
      </c>
      <c r="R174" s="163">
        <v>0.21595600756143668</v>
      </c>
      <c r="S174" s="163">
        <v>0.31776966351606806</v>
      </c>
      <c r="T174" s="164">
        <v>0.40836879395085068</v>
      </c>
      <c r="U174" s="6"/>
    </row>
    <row r="175" spans="2:21" ht="12.5" x14ac:dyDescent="0.25">
      <c r="B175" s="40" t="s">
        <v>182</v>
      </c>
      <c r="C175" s="41" t="s">
        <v>179</v>
      </c>
      <c r="D175" s="19" t="s">
        <v>60</v>
      </c>
      <c r="E175" s="2" t="s">
        <v>204</v>
      </c>
      <c r="F175" s="176" t="s">
        <v>24</v>
      </c>
      <c r="G175" s="19" t="s">
        <v>181</v>
      </c>
      <c r="H175" s="20">
        <v>40024</v>
      </c>
      <c r="I175" s="193">
        <v>26.5</v>
      </c>
      <c r="J175" s="194">
        <v>40028</v>
      </c>
      <c r="K175" s="195">
        <v>6237</v>
      </c>
      <c r="L175" s="195">
        <v>6944</v>
      </c>
      <c r="M175" s="196">
        <v>0</v>
      </c>
      <c r="N175" s="196">
        <v>1505104891.5</v>
      </c>
      <c r="O175" s="196">
        <v>1505104891.5</v>
      </c>
      <c r="P175" s="196">
        <v>803751410.60557508</v>
      </c>
      <c r="Q175" s="197">
        <v>9.3128859849964815E-2</v>
      </c>
      <c r="R175" s="163">
        <v>0.26150164664453884</v>
      </c>
      <c r="S175" s="163">
        <v>0.58644247785304604</v>
      </c>
      <c r="T175" s="164">
        <v>5.8927015652450294E-2</v>
      </c>
      <c r="U175" s="6"/>
    </row>
    <row r="176" spans="2:21" ht="12.5" x14ac:dyDescent="0.25">
      <c r="B176" s="40" t="s">
        <v>347</v>
      </c>
      <c r="C176" s="41" t="s">
        <v>179</v>
      </c>
      <c r="D176" s="19" t="s">
        <v>83</v>
      </c>
      <c r="E176" s="2" t="s">
        <v>202</v>
      </c>
      <c r="F176" s="176" t="s">
        <v>23</v>
      </c>
      <c r="G176" s="19" t="s">
        <v>181</v>
      </c>
      <c r="H176" s="20">
        <v>40080</v>
      </c>
      <c r="I176" s="193">
        <v>15</v>
      </c>
      <c r="J176" s="194">
        <v>40084</v>
      </c>
      <c r="K176" s="195">
        <v>5774</v>
      </c>
      <c r="L176" s="195">
        <v>6191</v>
      </c>
      <c r="M176" s="196">
        <v>0</v>
      </c>
      <c r="N176" s="196">
        <v>574566690</v>
      </c>
      <c r="O176" s="196">
        <v>574566690</v>
      </c>
      <c r="P176" s="196">
        <v>320807755.4438861</v>
      </c>
      <c r="Q176" s="197">
        <v>8.8666426092174289E-2</v>
      </c>
      <c r="R176" s="163">
        <v>5.7413247893671644E-2</v>
      </c>
      <c r="S176" s="163">
        <v>0.85200069411855295</v>
      </c>
      <c r="T176" s="164">
        <v>1.9196318956010826E-3</v>
      </c>
      <c r="U176" s="6"/>
    </row>
    <row r="177" spans="2:21" ht="12.5" x14ac:dyDescent="0.25">
      <c r="B177" s="40" t="s">
        <v>314</v>
      </c>
      <c r="C177" s="41" t="s">
        <v>184</v>
      </c>
      <c r="D177" s="19" t="s">
        <v>87</v>
      </c>
      <c r="E177" s="2" t="s">
        <v>348</v>
      </c>
      <c r="F177" s="176" t="s">
        <v>24</v>
      </c>
      <c r="G177" s="19" t="s">
        <v>181</v>
      </c>
      <c r="H177" s="20">
        <v>40080</v>
      </c>
      <c r="I177" s="193">
        <v>26.5</v>
      </c>
      <c r="J177" s="194">
        <v>40084</v>
      </c>
      <c r="K177" s="195">
        <v>5318</v>
      </c>
      <c r="L177" s="195">
        <v>6050</v>
      </c>
      <c r="M177" s="196">
        <v>792350000</v>
      </c>
      <c r="N177" s="196">
        <v>0</v>
      </c>
      <c r="O177" s="196">
        <v>792350000</v>
      </c>
      <c r="P177" s="196">
        <v>442406476.82858741</v>
      </c>
      <c r="Q177" s="197">
        <v>8.1040769230769236E-2</v>
      </c>
      <c r="R177" s="163">
        <v>0.14349234113712375</v>
      </c>
      <c r="S177" s="163">
        <v>0.73854304347826083</v>
      </c>
      <c r="T177" s="164">
        <v>3.6923846153846154E-2</v>
      </c>
      <c r="U177" s="6"/>
    </row>
    <row r="178" spans="2:21" ht="12.5" x14ac:dyDescent="0.25">
      <c r="B178" s="40" t="s">
        <v>226</v>
      </c>
      <c r="C178" s="41" t="s">
        <v>179</v>
      </c>
      <c r="D178" s="19" t="s">
        <v>82</v>
      </c>
      <c r="E178" s="2" t="s">
        <v>202</v>
      </c>
      <c r="F178" s="176" t="s">
        <v>24</v>
      </c>
      <c r="G178" s="19" t="s">
        <v>181</v>
      </c>
      <c r="H178" s="20">
        <v>40087</v>
      </c>
      <c r="I178" s="193">
        <v>12.5</v>
      </c>
      <c r="J178" s="194">
        <v>40091</v>
      </c>
      <c r="K178" s="195">
        <v>4342</v>
      </c>
      <c r="L178" s="195">
        <v>4825</v>
      </c>
      <c r="M178" s="196">
        <v>928125000</v>
      </c>
      <c r="N178" s="196">
        <v>0</v>
      </c>
      <c r="O178" s="196">
        <v>928125000</v>
      </c>
      <c r="P178" s="196">
        <v>525165506.70514339</v>
      </c>
      <c r="Q178" s="197">
        <v>7.7342949494949492E-2</v>
      </c>
      <c r="R178" s="163">
        <v>0.19340188552188553</v>
      </c>
      <c r="S178" s="163">
        <v>0.72537593265993261</v>
      </c>
      <c r="T178" s="164">
        <v>3.8792323232323231E-3</v>
      </c>
      <c r="U178" s="6"/>
    </row>
    <row r="179" spans="2:21" ht="12.5" x14ac:dyDescent="0.25">
      <c r="B179" s="40" t="s">
        <v>264</v>
      </c>
      <c r="C179" s="41" t="s">
        <v>179</v>
      </c>
      <c r="D179" s="19" t="s">
        <v>82</v>
      </c>
      <c r="E179" s="2" t="s">
        <v>348</v>
      </c>
      <c r="F179" s="176" t="s">
        <v>24</v>
      </c>
      <c r="G179" s="19" t="s">
        <v>181</v>
      </c>
      <c r="H179" s="20">
        <v>40087</v>
      </c>
      <c r="I179" s="193">
        <v>14</v>
      </c>
      <c r="J179" s="194">
        <v>40091</v>
      </c>
      <c r="K179" s="195">
        <v>2521</v>
      </c>
      <c r="L179" s="195">
        <v>3287</v>
      </c>
      <c r="M179" s="196">
        <v>784000000</v>
      </c>
      <c r="N179" s="196">
        <v>274400000</v>
      </c>
      <c r="O179" s="196">
        <v>1058400000</v>
      </c>
      <c r="P179" s="196">
        <v>598879646.919029</v>
      </c>
      <c r="Q179" s="197">
        <v>7.6583769841269841E-2</v>
      </c>
      <c r="R179" s="163">
        <v>0.18932887566137566</v>
      </c>
      <c r="S179" s="163">
        <v>0.73094513227513225</v>
      </c>
      <c r="T179" s="164">
        <v>3.142222222222222E-3</v>
      </c>
      <c r="U179" s="6"/>
    </row>
    <row r="180" spans="2:21" ht="12.5" x14ac:dyDescent="0.25">
      <c r="B180" s="40" t="s">
        <v>349</v>
      </c>
      <c r="C180" s="41" t="s">
        <v>184</v>
      </c>
      <c r="D180" s="19" t="s">
        <v>72</v>
      </c>
      <c r="E180" s="2" t="s">
        <v>211</v>
      </c>
      <c r="F180" s="176" t="s">
        <v>23</v>
      </c>
      <c r="G180" s="19" t="s">
        <v>181</v>
      </c>
      <c r="H180" s="20">
        <v>40092</v>
      </c>
      <c r="I180" s="193">
        <v>23.5</v>
      </c>
      <c r="J180" s="194">
        <v>40093</v>
      </c>
      <c r="K180" s="195">
        <v>74132</v>
      </c>
      <c r="L180" s="195">
        <v>101673</v>
      </c>
      <c r="M180" s="196">
        <v>13182457728</v>
      </c>
      <c r="N180" s="196">
        <v>0</v>
      </c>
      <c r="O180" s="196">
        <v>13182457728</v>
      </c>
      <c r="P180" s="196">
        <v>7492161254.9019604</v>
      </c>
      <c r="Q180" s="197">
        <v>8.2591282070867938E-2</v>
      </c>
      <c r="R180" s="163">
        <v>0.10176439014619766</v>
      </c>
      <c r="S180" s="163">
        <v>0.80160575274900281</v>
      </c>
      <c r="T180" s="164">
        <v>1.4038575033931572E-2</v>
      </c>
      <c r="U180" s="6"/>
    </row>
    <row r="181" spans="2:21" ht="12.5" x14ac:dyDescent="0.25">
      <c r="B181" s="40" t="s">
        <v>350</v>
      </c>
      <c r="C181" s="41" t="s">
        <v>184</v>
      </c>
      <c r="D181" s="19" t="s">
        <v>61</v>
      </c>
      <c r="E181" s="2" t="s">
        <v>204</v>
      </c>
      <c r="F181" s="176" t="s">
        <v>24</v>
      </c>
      <c r="G181" s="19" t="s">
        <v>181</v>
      </c>
      <c r="H181" s="20">
        <v>40094</v>
      </c>
      <c r="I181" s="193">
        <v>16.5</v>
      </c>
      <c r="J181" s="194">
        <v>40099</v>
      </c>
      <c r="K181" s="195">
        <v>3588</v>
      </c>
      <c r="L181" s="195">
        <v>3986</v>
      </c>
      <c r="M181" s="196">
        <v>627082500</v>
      </c>
      <c r="N181" s="196">
        <v>399052500</v>
      </c>
      <c r="O181" s="196">
        <v>1026135000</v>
      </c>
      <c r="P181" s="196">
        <v>590105814.02035773</v>
      </c>
      <c r="Q181" s="197">
        <v>4.6804614889853671E-2</v>
      </c>
      <c r="R181" s="163">
        <v>0.4490476443158064</v>
      </c>
      <c r="S181" s="163">
        <v>0.48562198102588838</v>
      </c>
      <c r="T181" s="164">
        <v>1.852575976845152E-2</v>
      </c>
      <c r="U181" s="6"/>
    </row>
    <row r="182" spans="2:21" ht="12.5" x14ac:dyDescent="0.25">
      <c r="B182" s="40" t="s">
        <v>351</v>
      </c>
      <c r="C182" s="41" t="s">
        <v>179</v>
      </c>
      <c r="D182" s="19" t="s">
        <v>82</v>
      </c>
      <c r="E182" s="2" t="s">
        <v>204</v>
      </c>
      <c r="F182" s="180" t="s">
        <v>24</v>
      </c>
      <c r="G182" s="19" t="s">
        <v>181</v>
      </c>
      <c r="H182" s="20">
        <v>40106</v>
      </c>
      <c r="I182" s="193">
        <v>6.8</v>
      </c>
      <c r="J182" s="194">
        <v>40108</v>
      </c>
      <c r="K182" s="195">
        <v>5833</v>
      </c>
      <c r="L182" s="195">
        <v>6519</v>
      </c>
      <c r="M182" s="196">
        <v>562700000</v>
      </c>
      <c r="N182" s="196">
        <v>102000000</v>
      </c>
      <c r="O182" s="196">
        <v>664700000</v>
      </c>
      <c r="P182" s="196">
        <v>381135321.10091746</v>
      </c>
      <c r="Q182" s="197">
        <v>9.4576460358056252E-2</v>
      </c>
      <c r="R182" s="163">
        <v>0.42314158567774934</v>
      </c>
      <c r="S182" s="163">
        <v>0.43230368286445015</v>
      </c>
      <c r="T182" s="164">
        <v>4.9978271099744245E-2</v>
      </c>
      <c r="U182" s="6"/>
    </row>
    <row r="183" spans="2:21" ht="12.5" x14ac:dyDescent="0.25">
      <c r="B183" s="40" t="s">
        <v>178</v>
      </c>
      <c r="C183" s="41" t="s">
        <v>179</v>
      </c>
      <c r="D183" s="19" t="s">
        <v>59</v>
      </c>
      <c r="E183" s="2" t="s">
        <v>204</v>
      </c>
      <c r="F183" s="180" t="s">
        <v>24</v>
      </c>
      <c r="G183" s="19" t="s">
        <v>181</v>
      </c>
      <c r="H183" s="20">
        <v>40107</v>
      </c>
      <c r="I183" s="193">
        <v>33</v>
      </c>
      <c r="J183" s="194">
        <v>40109</v>
      </c>
      <c r="K183" s="195">
        <v>4930</v>
      </c>
      <c r="L183" s="195">
        <v>5612</v>
      </c>
      <c r="M183" s="196">
        <v>1263735000</v>
      </c>
      <c r="N183" s="196">
        <v>0</v>
      </c>
      <c r="O183" s="196">
        <v>1263735000</v>
      </c>
      <c r="P183" s="196">
        <v>738464909.71775842</v>
      </c>
      <c r="Q183" s="197">
        <v>8.9528998563781173E-2</v>
      </c>
      <c r="R183" s="163">
        <v>0.21670056143099622</v>
      </c>
      <c r="S183" s="163">
        <v>0.68990964877921401</v>
      </c>
      <c r="T183" s="164">
        <v>3.8607912260086173E-3</v>
      </c>
      <c r="U183" s="6"/>
    </row>
    <row r="184" spans="2:21" ht="12.5" x14ac:dyDescent="0.25">
      <c r="B184" s="40" t="s">
        <v>269</v>
      </c>
      <c r="C184" s="41" t="s">
        <v>179</v>
      </c>
      <c r="D184" s="19" t="s">
        <v>87</v>
      </c>
      <c r="E184" s="2" t="s">
        <v>204</v>
      </c>
      <c r="F184" s="176" t="s">
        <v>24</v>
      </c>
      <c r="G184" s="19" t="s">
        <v>181</v>
      </c>
      <c r="H184" s="20">
        <v>40108</v>
      </c>
      <c r="I184" s="193">
        <v>28.5</v>
      </c>
      <c r="J184" s="194">
        <v>40112</v>
      </c>
      <c r="K184" s="195">
        <v>3563</v>
      </c>
      <c r="L184" s="195">
        <v>3847</v>
      </c>
      <c r="M184" s="196">
        <v>410400000</v>
      </c>
      <c r="N184" s="196">
        <v>0</v>
      </c>
      <c r="O184" s="196">
        <v>410400000</v>
      </c>
      <c r="P184" s="196">
        <v>239202657.80730897</v>
      </c>
      <c r="Q184" s="197">
        <v>8.8686061381074169E-2</v>
      </c>
      <c r="R184" s="163">
        <v>0.32909897698209717</v>
      </c>
      <c r="S184" s="163">
        <v>0.57758900255754475</v>
      </c>
      <c r="T184" s="164">
        <v>4.6259590792838874E-3</v>
      </c>
      <c r="U184" s="6"/>
    </row>
    <row r="185" spans="2:21" ht="12.5" x14ac:dyDescent="0.25">
      <c r="B185" s="40" t="s">
        <v>352</v>
      </c>
      <c r="C185" s="41" t="s">
        <v>179</v>
      </c>
      <c r="D185" s="19" t="s">
        <v>109</v>
      </c>
      <c r="E185" s="2" t="s">
        <v>204</v>
      </c>
      <c r="F185" s="176" t="s">
        <v>23</v>
      </c>
      <c r="G185" s="19" t="s">
        <v>181</v>
      </c>
      <c r="H185" s="20">
        <v>40112</v>
      </c>
      <c r="I185" s="193">
        <v>13</v>
      </c>
      <c r="J185" s="194">
        <v>40114</v>
      </c>
      <c r="K185" s="195">
        <v>5058</v>
      </c>
      <c r="L185" s="195">
        <v>5437</v>
      </c>
      <c r="M185" s="196">
        <v>0</v>
      </c>
      <c r="N185" s="196">
        <v>772991934</v>
      </c>
      <c r="O185" s="196">
        <v>772991934</v>
      </c>
      <c r="P185" s="196">
        <v>443051489.65438187</v>
      </c>
      <c r="Q185" s="197">
        <v>9.8154683964816275E-2</v>
      </c>
      <c r="R185" s="163">
        <v>5.2802500182675204E-2</v>
      </c>
      <c r="S185" s="163">
        <v>0.84489174491856878</v>
      </c>
      <c r="T185" s="164">
        <v>4.1510709339397786E-3</v>
      </c>
      <c r="U185" s="6"/>
    </row>
    <row r="186" spans="2:21" ht="12.5" x14ac:dyDescent="0.25">
      <c r="B186" s="40" t="s">
        <v>218</v>
      </c>
      <c r="C186" s="41" t="s">
        <v>179</v>
      </c>
      <c r="D186" s="19" t="s">
        <v>78</v>
      </c>
      <c r="E186" s="2" t="s">
        <v>202</v>
      </c>
      <c r="F186" s="176" t="s">
        <v>24</v>
      </c>
      <c r="G186" s="19" t="s">
        <v>181</v>
      </c>
      <c r="H186" s="20">
        <v>40113</v>
      </c>
      <c r="I186" s="193">
        <v>22</v>
      </c>
      <c r="J186" s="194">
        <v>40115</v>
      </c>
      <c r="K186" s="195">
        <v>5170</v>
      </c>
      <c r="L186" s="195">
        <v>5766</v>
      </c>
      <c r="M186" s="196">
        <v>1182500000</v>
      </c>
      <c r="N186" s="196">
        <v>0</v>
      </c>
      <c r="O186" s="196">
        <v>1182500000</v>
      </c>
      <c r="P186" s="196">
        <v>678194540.03211749</v>
      </c>
      <c r="Q186" s="197">
        <v>7.9324986046511628E-2</v>
      </c>
      <c r="R186" s="163">
        <v>2.4330139534883721E-2</v>
      </c>
      <c r="S186" s="163">
        <v>0.72471419534883719</v>
      </c>
      <c r="T186" s="164">
        <v>0.17163067906976745</v>
      </c>
      <c r="U186" s="6"/>
    </row>
    <row r="187" spans="2:21" ht="12.5" x14ac:dyDescent="0.25">
      <c r="B187" s="40" t="s">
        <v>298</v>
      </c>
      <c r="C187" s="41" t="s">
        <v>179</v>
      </c>
      <c r="D187" s="19" t="s">
        <v>91</v>
      </c>
      <c r="E187" s="2" t="s">
        <v>190</v>
      </c>
      <c r="F187" s="176" t="s">
        <v>24</v>
      </c>
      <c r="G187" s="19" t="s">
        <v>181</v>
      </c>
      <c r="H187" s="20">
        <v>40128</v>
      </c>
      <c r="I187" s="193">
        <v>19</v>
      </c>
      <c r="J187" s="194">
        <v>40129</v>
      </c>
      <c r="K187" s="195">
        <v>5</v>
      </c>
      <c r="L187" s="195">
        <v>2644</v>
      </c>
      <c r="M187" s="196">
        <v>1501760000</v>
      </c>
      <c r="N187" s="196">
        <v>0</v>
      </c>
      <c r="O187" s="196">
        <v>1501760000</v>
      </c>
      <c r="P187" s="196">
        <v>870585507.24637675</v>
      </c>
      <c r="Q187" s="197">
        <v>1.4612790991902835E-2</v>
      </c>
      <c r="R187" s="163">
        <v>0.26609741902834005</v>
      </c>
      <c r="S187" s="163">
        <v>0.4783132464574899</v>
      </c>
      <c r="T187" s="164">
        <v>0.24097654352226722</v>
      </c>
      <c r="U187" s="6"/>
    </row>
    <row r="188" spans="2:21" ht="12.5" x14ac:dyDescent="0.25">
      <c r="B188" s="40" t="s">
        <v>353</v>
      </c>
      <c r="C188" s="41" t="s">
        <v>179</v>
      </c>
      <c r="D188" s="19" t="s">
        <v>82</v>
      </c>
      <c r="E188" s="2" t="s">
        <v>211</v>
      </c>
      <c r="F188" s="176" t="s">
        <v>23</v>
      </c>
      <c r="G188" s="19" t="s">
        <v>181</v>
      </c>
      <c r="H188" s="20">
        <v>40134</v>
      </c>
      <c r="I188" s="193">
        <v>10.5</v>
      </c>
      <c r="J188" s="194">
        <v>40136</v>
      </c>
      <c r="K188" s="195">
        <v>588</v>
      </c>
      <c r="L188" s="195">
        <v>661</v>
      </c>
      <c r="M188" s="196">
        <v>273999999</v>
      </c>
      <c r="N188" s="196">
        <v>0</v>
      </c>
      <c r="O188" s="196">
        <v>273999999</v>
      </c>
      <c r="P188" s="196">
        <v>158500606.8143692</v>
      </c>
      <c r="Q188" s="197">
        <v>7.4642009396503686E-2</v>
      </c>
      <c r="R188" s="163">
        <v>7.1940903547229582E-2</v>
      </c>
      <c r="S188" s="163">
        <v>0.64310699139820071</v>
      </c>
      <c r="T188" s="164">
        <v>0.21031009565806605</v>
      </c>
      <c r="U188" s="6"/>
    </row>
    <row r="189" spans="2:21" ht="12.5" x14ac:dyDescent="0.25">
      <c r="B189" s="40" t="s">
        <v>216</v>
      </c>
      <c r="C189" s="41" t="s">
        <v>179</v>
      </c>
      <c r="D189" s="19" t="s">
        <v>65</v>
      </c>
      <c r="E189" s="2" t="s">
        <v>190</v>
      </c>
      <c r="F189" s="176" t="s">
        <v>24</v>
      </c>
      <c r="G189" s="19" t="s">
        <v>181</v>
      </c>
      <c r="H189" s="20">
        <v>40141</v>
      </c>
      <c r="I189" s="193">
        <v>28.5</v>
      </c>
      <c r="J189" s="194">
        <v>40143</v>
      </c>
      <c r="K189" s="195">
        <v>1109</v>
      </c>
      <c r="L189" s="195">
        <v>1551</v>
      </c>
      <c r="M189" s="196">
        <v>0</v>
      </c>
      <c r="N189" s="196">
        <v>441750000</v>
      </c>
      <c r="O189" s="196">
        <v>441750000</v>
      </c>
      <c r="P189" s="196">
        <v>253748061.34757885</v>
      </c>
      <c r="Q189" s="197">
        <v>9.2037225806451614E-2</v>
      </c>
      <c r="R189" s="163">
        <v>0.32481458064516128</v>
      </c>
      <c r="S189" s="163">
        <v>0.58067290322580645</v>
      </c>
      <c r="T189" s="164">
        <v>2.4752903225806451E-3</v>
      </c>
      <c r="U189" s="6"/>
    </row>
    <row r="190" spans="2:21" ht="12.5" x14ac:dyDescent="0.25">
      <c r="B190" s="184" t="s">
        <v>274</v>
      </c>
      <c r="C190" s="74" t="s">
        <v>184</v>
      </c>
      <c r="D190" s="19" t="s">
        <v>98</v>
      </c>
      <c r="E190" s="2" t="s">
        <v>204</v>
      </c>
      <c r="F190" s="176" t="s">
        <v>24</v>
      </c>
      <c r="G190" s="19" t="s">
        <v>181</v>
      </c>
      <c r="H190" s="20">
        <v>40155</v>
      </c>
      <c r="I190" s="193">
        <v>22.5</v>
      </c>
      <c r="J190" s="194">
        <v>40157</v>
      </c>
      <c r="K190" s="195">
        <v>1487</v>
      </c>
      <c r="L190" s="195">
        <v>1924</v>
      </c>
      <c r="M190" s="196">
        <v>0</v>
      </c>
      <c r="N190" s="196">
        <v>750375000</v>
      </c>
      <c r="O190" s="196">
        <v>750375000</v>
      </c>
      <c r="P190" s="196">
        <v>425696374.87944633</v>
      </c>
      <c r="Q190" s="197">
        <v>8.5570854572713642E-2</v>
      </c>
      <c r="R190" s="163">
        <v>0.12138284857571215</v>
      </c>
      <c r="S190" s="163">
        <v>0.79038140929535228</v>
      </c>
      <c r="T190" s="164">
        <v>2.6648875562218892E-3</v>
      </c>
      <c r="U190" s="6"/>
    </row>
    <row r="191" spans="2:21" ht="13" thickBot="1" x14ac:dyDescent="0.3">
      <c r="B191" s="30" t="s">
        <v>354</v>
      </c>
      <c r="C191" s="31" t="s">
        <v>179</v>
      </c>
      <c r="D191" s="31" t="s">
        <v>68</v>
      </c>
      <c r="E191" s="185" t="s">
        <v>190</v>
      </c>
      <c r="F191" s="186" t="s">
        <v>23</v>
      </c>
      <c r="G191" s="185" t="s">
        <v>181</v>
      </c>
      <c r="H191" s="32">
        <v>40162</v>
      </c>
      <c r="I191" s="33">
        <v>16</v>
      </c>
      <c r="J191" s="198">
        <v>40164</v>
      </c>
      <c r="K191" s="199">
        <v>4631</v>
      </c>
      <c r="L191" s="199">
        <v>5176</v>
      </c>
      <c r="M191" s="200">
        <v>630233120</v>
      </c>
      <c r="N191" s="200">
        <v>0</v>
      </c>
      <c r="O191" s="200">
        <v>630233120</v>
      </c>
      <c r="P191" s="200">
        <v>353606643.1016103</v>
      </c>
      <c r="Q191" s="165">
        <v>8.7598442938067109E-2</v>
      </c>
      <c r="R191" s="165">
        <v>0.15645067971039034</v>
      </c>
      <c r="S191" s="165">
        <v>0.75337131123797496</v>
      </c>
      <c r="T191" s="166">
        <v>2.5795661135676272E-3</v>
      </c>
      <c r="U191" s="6"/>
    </row>
    <row r="192" spans="2:21" ht="13" thickTop="1" x14ac:dyDescent="0.25">
      <c r="B192" s="40" t="s">
        <v>355</v>
      </c>
      <c r="C192" s="41" t="s">
        <v>179</v>
      </c>
      <c r="D192" s="171" t="s">
        <v>87</v>
      </c>
      <c r="E192" s="171" t="s">
        <v>348</v>
      </c>
      <c r="F192" s="172" t="s">
        <v>23</v>
      </c>
      <c r="G192" s="2" t="s">
        <v>181</v>
      </c>
      <c r="H192" s="42">
        <v>40205</v>
      </c>
      <c r="I192" s="43">
        <v>9</v>
      </c>
      <c r="J192" s="173">
        <v>40207</v>
      </c>
      <c r="K192" s="174">
        <v>1626</v>
      </c>
      <c r="L192" s="174">
        <v>1892</v>
      </c>
      <c r="M192" s="175">
        <v>450000000</v>
      </c>
      <c r="N192" s="175">
        <v>193500000</v>
      </c>
      <c r="O192" s="175">
        <v>643500000</v>
      </c>
      <c r="P192" s="175">
        <v>343236611.90526992</v>
      </c>
      <c r="Q192" s="167">
        <v>6.665237762237762E-2</v>
      </c>
      <c r="R192" s="167">
        <v>0.20004700699300698</v>
      </c>
      <c r="S192" s="167">
        <v>0.73164967832167838</v>
      </c>
      <c r="T192" s="168">
        <v>1.650937062937063E-3</v>
      </c>
      <c r="U192" s="6"/>
    </row>
    <row r="193" spans="2:21" ht="12.5" x14ac:dyDescent="0.25">
      <c r="B193" s="40" t="s">
        <v>291</v>
      </c>
      <c r="C193" s="41" t="s">
        <v>179</v>
      </c>
      <c r="D193" s="176" t="s">
        <v>82</v>
      </c>
      <c r="E193" s="176" t="s">
        <v>202</v>
      </c>
      <c r="F193" s="176" t="s">
        <v>24</v>
      </c>
      <c r="G193" s="19" t="s">
        <v>181</v>
      </c>
      <c r="H193" s="20">
        <v>40211</v>
      </c>
      <c r="I193" s="21">
        <v>3.2</v>
      </c>
      <c r="J193" s="177">
        <v>40213</v>
      </c>
      <c r="K193" s="178">
        <v>1423</v>
      </c>
      <c r="L193" s="178">
        <v>1612</v>
      </c>
      <c r="M193" s="179">
        <v>280000000</v>
      </c>
      <c r="N193" s="179">
        <v>0</v>
      </c>
      <c r="O193" s="179">
        <v>280000000</v>
      </c>
      <c r="P193" s="179">
        <v>149612610.20571736</v>
      </c>
      <c r="Q193" s="163">
        <v>6.8151439999999994E-2</v>
      </c>
      <c r="R193" s="163">
        <v>0.24533228571428572</v>
      </c>
      <c r="S193" s="163">
        <v>0.68484573714285712</v>
      </c>
      <c r="T193" s="164">
        <v>1.6705371428571429E-3</v>
      </c>
      <c r="U193" s="6"/>
    </row>
    <row r="194" spans="2:21" ht="12.5" x14ac:dyDescent="0.25">
      <c r="B194" s="40" t="s">
        <v>356</v>
      </c>
      <c r="C194" s="41" t="s">
        <v>179</v>
      </c>
      <c r="D194" s="176" t="s">
        <v>117</v>
      </c>
      <c r="E194" s="176" t="s">
        <v>348</v>
      </c>
      <c r="F194" s="176" t="s">
        <v>23</v>
      </c>
      <c r="G194" s="19" t="s">
        <v>181</v>
      </c>
      <c r="H194" s="20">
        <v>40212</v>
      </c>
      <c r="I194" s="21">
        <v>16</v>
      </c>
      <c r="J194" s="177">
        <v>40214</v>
      </c>
      <c r="K194" s="178">
        <v>1167</v>
      </c>
      <c r="L194" s="178">
        <v>1388</v>
      </c>
      <c r="M194" s="179">
        <v>692384000</v>
      </c>
      <c r="N194" s="179">
        <v>0</v>
      </c>
      <c r="O194" s="179">
        <v>692384000</v>
      </c>
      <c r="P194" s="179">
        <v>369212392.68383723</v>
      </c>
      <c r="Q194" s="163">
        <v>4.1318204926745851E-2</v>
      </c>
      <c r="R194" s="163">
        <v>2.7142626057216806E-3</v>
      </c>
      <c r="S194" s="163">
        <v>0.82120152978693906</v>
      </c>
      <c r="T194" s="164">
        <v>0.13476600268059344</v>
      </c>
      <c r="U194" s="6"/>
    </row>
    <row r="195" spans="2:21" ht="12.5" x14ac:dyDescent="0.25">
      <c r="B195" s="40" t="s">
        <v>264</v>
      </c>
      <c r="C195" s="41" t="s">
        <v>179</v>
      </c>
      <c r="D195" s="176" t="s">
        <v>82</v>
      </c>
      <c r="E195" s="176" t="s">
        <v>202</v>
      </c>
      <c r="F195" s="176" t="s">
        <v>24</v>
      </c>
      <c r="G195" s="19" t="s">
        <v>181</v>
      </c>
      <c r="H195" s="20">
        <v>40213</v>
      </c>
      <c r="I195" s="21">
        <v>14.5</v>
      </c>
      <c r="J195" s="177">
        <v>40217</v>
      </c>
      <c r="K195" s="178">
        <v>2802</v>
      </c>
      <c r="L195" s="178">
        <v>3491</v>
      </c>
      <c r="M195" s="179">
        <v>0</v>
      </c>
      <c r="N195" s="179">
        <v>1618891461.5</v>
      </c>
      <c r="O195" s="179">
        <v>1618891461.5</v>
      </c>
      <c r="P195" s="179">
        <v>864330732.24773097</v>
      </c>
      <c r="Q195" s="163">
        <v>9.7183052256156463E-2</v>
      </c>
      <c r="R195" s="163">
        <v>0.43246845767615411</v>
      </c>
      <c r="S195" s="163">
        <v>0.46770936687653908</v>
      </c>
      <c r="T195" s="164">
        <v>2.6391231911503908E-3</v>
      </c>
      <c r="U195" s="6"/>
    </row>
    <row r="196" spans="2:21" ht="12.5" x14ac:dyDescent="0.25">
      <c r="B196" s="40" t="s">
        <v>357</v>
      </c>
      <c r="C196" s="41" t="s">
        <v>179</v>
      </c>
      <c r="D196" s="176" t="s">
        <v>87</v>
      </c>
      <c r="E196" s="176" t="s">
        <v>204</v>
      </c>
      <c r="F196" s="176" t="s">
        <v>23</v>
      </c>
      <c r="G196" s="19" t="s">
        <v>181</v>
      </c>
      <c r="H196" s="20">
        <v>40241</v>
      </c>
      <c r="I196" s="21">
        <v>13</v>
      </c>
      <c r="J196" s="177">
        <v>40245</v>
      </c>
      <c r="K196" s="178">
        <v>1451</v>
      </c>
      <c r="L196" s="178">
        <v>1831</v>
      </c>
      <c r="M196" s="179">
        <v>747500000</v>
      </c>
      <c r="N196" s="179">
        <v>186888000</v>
      </c>
      <c r="O196" s="179">
        <v>934388000</v>
      </c>
      <c r="P196" s="179">
        <v>524171434.98260969</v>
      </c>
      <c r="Q196" s="163">
        <v>4.2736845238634497E-2</v>
      </c>
      <c r="R196" s="163">
        <v>0.28556674479432925</v>
      </c>
      <c r="S196" s="163">
        <v>0.6514811684723173</v>
      </c>
      <c r="T196" s="164">
        <v>2.0215241494718941E-2</v>
      </c>
      <c r="U196" s="6"/>
    </row>
    <row r="197" spans="2:21" ht="12.5" x14ac:dyDescent="0.25">
      <c r="B197" s="40" t="s">
        <v>358</v>
      </c>
      <c r="C197" s="41" t="s">
        <v>179</v>
      </c>
      <c r="D197" s="176" t="s">
        <v>101</v>
      </c>
      <c r="E197" s="176" t="s">
        <v>202</v>
      </c>
      <c r="F197" s="176" t="s">
        <v>23</v>
      </c>
      <c r="G197" s="19" t="s">
        <v>181</v>
      </c>
      <c r="H197" s="20">
        <v>40255</v>
      </c>
      <c r="I197" s="21">
        <v>800</v>
      </c>
      <c r="J197" s="177">
        <v>40259</v>
      </c>
      <c r="K197" s="178">
        <v>30</v>
      </c>
      <c r="L197" s="178">
        <v>184</v>
      </c>
      <c r="M197" s="179">
        <v>2450400000</v>
      </c>
      <c r="N197" s="179">
        <v>0</v>
      </c>
      <c r="O197" s="179">
        <v>2450400000</v>
      </c>
      <c r="P197" s="179">
        <v>1359068219.6339436</v>
      </c>
      <c r="Q197" s="163">
        <v>1.1753183153770812E-2</v>
      </c>
      <c r="R197" s="163">
        <v>1.8137943760734715E-2</v>
      </c>
      <c r="S197" s="163">
        <v>0.69346903433689622</v>
      </c>
      <c r="T197" s="164">
        <v>0.27663983874859827</v>
      </c>
      <c r="U197" s="6"/>
    </row>
    <row r="198" spans="2:21" ht="12.5" x14ac:dyDescent="0.25">
      <c r="B198" s="40" t="s">
        <v>359</v>
      </c>
      <c r="C198" s="41" t="s">
        <v>179</v>
      </c>
      <c r="D198" s="176" t="s">
        <v>82</v>
      </c>
      <c r="E198" s="176" t="s">
        <v>204</v>
      </c>
      <c r="F198" s="176" t="s">
        <v>24</v>
      </c>
      <c r="G198" s="19" t="s">
        <v>181</v>
      </c>
      <c r="H198" s="20">
        <v>40260</v>
      </c>
      <c r="I198" s="21">
        <v>12.5</v>
      </c>
      <c r="J198" s="177">
        <v>40262</v>
      </c>
      <c r="K198" s="178">
        <v>2488</v>
      </c>
      <c r="L198" s="178">
        <v>2910</v>
      </c>
      <c r="M198" s="179">
        <v>1063750000</v>
      </c>
      <c r="N198" s="179">
        <v>0</v>
      </c>
      <c r="O198" s="179">
        <v>1063750000</v>
      </c>
      <c r="P198" s="179">
        <v>590709684.58462906</v>
      </c>
      <c r="Q198" s="163">
        <v>6.2444923619271446E-2</v>
      </c>
      <c r="R198" s="163">
        <v>0.31804683901292596</v>
      </c>
      <c r="S198" s="163">
        <v>0.61794923619271447</v>
      </c>
      <c r="T198" s="164">
        <v>1.5590011750881317E-3</v>
      </c>
      <c r="U198" s="6"/>
    </row>
    <row r="199" spans="2:21" ht="12.5" x14ac:dyDescent="0.25">
      <c r="B199" s="40" t="s">
        <v>360</v>
      </c>
      <c r="C199" s="41" t="s">
        <v>179</v>
      </c>
      <c r="D199" s="176" t="s">
        <v>59</v>
      </c>
      <c r="E199" s="176" t="s">
        <v>204</v>
      </c>
      <c r="F199" s="176" t="s">
        <v>23</v>
      </c>
      <c r="G199" s="19" t="s">
        <v>181</v>
      </c>
      <c r="H199" s="20">
        <v>40267</v>
      </c>
      <c r="I199" s="21">
        <v>9.5</v>
      </c>
      <c r="J199" s="177">
        <v>40269</v>
      </c>
      <c r="K199" s="178">
        <v>1982</v>
      </c>
      <c r="L199" s="178">
        <v>2647</v>
      </c>
      <c r="M199" s="179">
        <v>874000000</v>
      </c>
      <c r="N199" s="179">
        <v>494028500</v>
      </c>
      <c r="O199" s="179">
        <v>1368028500</v>
      </c>
      <c r="P199" s="179">
        <v>772853793.57098472</v>
      </c>
      <c r="Q199" s="163">
        <v>4.7046790691860588E-2</v>
      </c>
      <c r="R199" s="163">
        <v>0.29249494107761642</v>
      </c>
      <c r="S199" s="163">
        <v>0.51137191586286401</v>
      </c>
      <c r="T199" s="164">
        <v>0.14908635236765902</v>
      </c>
      <c r="U199" s="6"/>
    </row>
    <row r="200" spans="2:21" ht="12.5" x14ac:dyDescent="0.25">
      <c r="B200" s="40" t="s">
        <v>340</v>
      </c>
      <c r="C200" s="41" t="s">
        <v>179</v>
      </c>
      <c r="D200" s="180" t="s">
        <v>74</v>
      </c>
      <c r="E200" s="180" t="s">
        <v>339</v>
      </c>
      <c r="F200" s="180" t="s">
        <v>24</v>
      </c>
      <c r="G200" s="19" t="s">
        <v>181</v>
      </c>
      <c r="H200" s="20">
        <v>40268</v>
      </c>
      <c r="I200" s="21">
        <v>21</v>
      </c>
      <c r="J200" s="181">
        <v>40273</v>
      </c>
      <c r="K200" s="182">
        <v>2697</v>
      </c>
      <c r="L200" s="182">
        <v>3616</v>
      </c>
      <c r="M200" s="183">
        <v>1232616000</v>
      </c>
      <c r="N200" s="183">
        <v>0</v>
      </c>
      <c r="O200" s="183">
        <v>1232616000</v>
      </c>
      <c r="P200" s="183">
        <v>701426051.32874298</v>
      </c>
      <c r="Q200" s="163">
        <v>7.7514992503748131E-2</v>
      </c>
      <c r="R200" s="163">
        <v>0.20446035504974786</v>
      </c>
      <c r="S200" s="163">
        <v>0.71584234019353954</v>
      </c>
      <c r="T200" s="164">
        <v>2.1823122529644268E-3</v>
      </c>
      <c r="U200" s="6"/>
    </row>
    <row r="201" spans="2:21" ht="12.5" x14ac:dyDescent="0.25">
      <c r="B201" s="40" t="s">
        <v>361</v>
      </c>
      <c r="C201" s="41" t="s">
        <v>179</v>
      </c>
      <c r="D201" s="180" t="s">
        <v>86</v>
      </c>
      <c r="E201" s="180" t="s">
        <v>204</v>
      </c>
      <c r="F201" s="180" t="s">
        <v>23</v>
      </c>
      <c r="G201" s="19" t="s">
        <v>181</v>
      </c>
      <c r="H201" s="20">
        <v>40282</v>
      </c>
      <c r="I201" s="21">
        <v>11.5</v>
      </c>
      <c r="J201" s="181">
        <v>40284</v>
      </c>
      <c r="K201" s="182">
        <v>1086</v>
      </c>
      <c r="L201" s="182">
        <v>1358</v>
      </c>
      <c r="M201" s="183">
        <v>425925925.5</v>
      </c>
      <c r="N201" s="183">
        <v>259814808</v>
      </c>
      <c r="O201" s="183">
        <v>685740733.5</v>
      </c>
      <c r="P201" s="183">
        <v>390557428.80738127</v>
      </c>
      <c r="Q201" s="163">
        <v>3.2080729531287204E-2</v>
      </c>
      <c r="R201" s="163">
        <v>0.15486718859176535</v>
      </c>
      <c r="S201" s="163">
        <v>0.77255307089031189</v>
      </c>
      <c r="T201" s="164">
        <v>4.0499010986635518E-2</v>
      </c>
      <c r="U201" s="6"/>
    </row>
    <row r="202" spans="2:21" ht="12.5" x14ac:dyDescent="0.25">
      <c r="B202" s="40" t="s">
        <v>277</v>
      </c>
      <c r="C202" s="41" t="s">
        <v>179</v>
      </c>
      <c r="D202" s="176" t="s">
        <v>82</v>
      </c>
      <c r="E202" s="176" t="s">
        <v>204</v>
      </c>
      <c r="F202" s="176" t="s">
        <v>24</v>
      </c>
      <c r="G202" s="19" t="s">
        <v>181</v>
      </c>
      <c r="H202" s="20">
        <v>40283</v>
      </c>
      <c r="I202" s="21">
        <v>6</v>
      </c>
      <c r="J202" s="177">
        <v>40287</v>
      </c>
      <c r="K202" s="178">
        <v>2156</v>
      </c>
      <c r="L202" s="178">
        <v>2515</v>
      </c>
      <c r="M202" s="179">
        <v>326000004</v>
      </c>
      <c r="N202" s="179">
        <v>180000000</v>
      </c>
      <c r="O202" s="179">
        <v>506000004</v>
      </c>
      <c r="P202" s="179">
        <v>289192435.27461851</v>
      </c>
      <c r="Q202" s="163">
        <v>9.9583350991435962E-2</v>
      </c>
      <c r="R202" s="163">
        <v>0.33255331752922279</v>
      </c>
      <c r="S202" s="163">
        <v>0.46544233624156256</v>
      </c>
      <c r="T202" s="164">
        <v>0.1024209952377787</v>
      </c>
      <c r="U202" s="6"/>
    </row>
    <row r="203" spans="2:21" ht="12.5" x14ac:dyDescent="0.25">
      <c r="B203" s="40" t="s">
        <v>362</v>
      </c>
      <c r="C203" s="41" t="s">
        <v>179</v>
      </c>
      <c r="D203" s="176" t="s">
        <v>108</v>
      </c>
      <c r="E203" s="176" t="s">
        <v>190</v>
      </c>
      <c r="F203" s="176" t="s">
        <v>23</v>
      </c>
      <c r="G203" s="19" t="s">
        <v>181</v>
      </c>
      <c r="H203" s="20">
        <v>40287</v>
      </c>
      <c r="I203" s="21">
        <v>8</v>
      </c>
      <c r="J203" s="177">
        <v>40290</v>
      </c>
      <c r="K203" s="178">
        <v>726</v>
      </c>
      <c r="L203" s="178">
        <v>989</v>
      </c>
      <c r="M203" s="179">
        <v>477902824</v>
      </c>
      <c r="N203" s="179">
        <v>0</v>
      </c>
      <c r="O203" s="179">
        <v>477902824</v>
      </c>
      <c r="P203" s="179">
        <v>271135154.88482922</v>
      </c>
      <c r="Q203" s="163">
        <v>3.2331535244154344E-2</v>
      </c>
      <c r="R203" s="163">
        <v>0.15242885372498341</v>
      </c>
      <c r="S203" s="163">
        <v>0.64773563340949902</v>
      </c>
      <c r="T203" s="164">
        <v>0.16750397762136326</v>
      </c>
      <c r="U203" s="6"/>
    </row>
    <row r="204" spans="2:21" ht="12.5" x14ac:dyDescent="0.25">
      <c r="B204" s="40" t="s">
        <v>275</v>
      </c>
      <c r="C204" s="41" t="s">
        <v>179</v>
      </c>
      <c r="D204" s="176" t="s">
        <v>91</v>
      </c>
      <c r="E204" s="176" t="s">
        <v>348</v>
      </c>
      <c r="F204" s="176" t="s">
        <v>24</v>
      </c>
      <c r="G204" s="19" t="s">
        <v>181</v>
      </c>
      <c r="H204" s="20">
        <v>40295</v>
      </c>
      <c r="I204" s="21">
        <v>8</v>
      </c>
      <c r="J204" s="177">
        <v>40297</v>
      </c>
      <c r="K204" s="178">
        <v>3378</v>
      </c>
      <c r="L204" s="178">
        <v>4070</v>
      </c>
      <c r="M204" s="179">
        <v>1600000000</v>
      </c>
      <c r="N204" s="179">
        <v>0</v>
      </c>
      <c r="O204" s="179">
        <v>1600000000</v>
      </c>
      <c r="P204" s="179">
        <v>923734195.48524916</v>
      </c>
      <c r="Q204" s="163">
        <v>8.9639201493206824E-2</v>
      </c>
      <c r="R204" s="163">
        <v>0.56390888024805086</v>
      </c>
      <c r="S204" s="163">
        <v>0.33928502001080957</v>
      </c>
      <c r="T204" s="164">
        <v>7.166898247932727E-3</v>
      </c>
      <c r="U204" s="6"/>
    </row>
    <row r="205" spans="2:21" ht="12.5" x14ac:dyDescent="0.25">
      <c r="B205" s="40" t="s">
        <v>242</v>
      </c>
      <c r="C205" s="41" t="s">
        <v>179</v>
      </c>
      <c r="D205" s="176" t="s">
        <v>72</v>
      </c>
      <c r="E205" s="176" t="s">
        <v>243</v>
      </c>
      <c r="F205" s="176" t="s">
        <v>24</v>
      </c>
      <c r="G205" s="19" t="s">
        <v>181</v>
      </c>
      <c r="H205" s="20">
        <v>40359</v>
      </c>
      <c r="I205" s="21">
        <v>24.65</v>
      </c>
      <c r="J205" s="177">
        <v>40361</v>
      </c>
      <c r="K205" s="178">
        <v>103471</v>
      </c>
      <c r="L205" s="178">
        <v>113502</v>
      </c>
      <c r="M205" s="179">
        <v>7049900000</v>
      </c>
      <c r="N205" s="179">
        <v>2711500000</v>
      </c>
      <c r="O205" s="179">
        <v>9761400000</v>
      </c>
      <c r="P205" s="179">
        <v>5488557773.4045544</v>
      </c>
      <c r="Q205" s="163">
        <v>0.15932670707070706</v>
      </c>
      <c r="R205" s="163">
        <v>0.43090268686868688</v>
      </c>
      <c r="S205" s="163">
        <v>0.3896108611111111</v>
      </c>
      <c r="T205" s="164">
        <v>2.0159744949494948E-2</v>
      </c>
      <c r="U205" s="6"/>
    </row>
    <row r="206" spans="2:21" ht="12.5" x14ac:dyDescent="0.25">
      <c r="B206" s="40" t="s">
        <v>363</v>
      </c>
      <c r="C206" s="41" t="s">
        <v>184</v>
      </c>
      <c r="D206" s="176" t="s">
        <v>65</v>
      </c>
      <c r="E206" s="176" t="s">
        <v>211</v>
      </c>
      <c r="F206" s="176" t="s">
        <v>23</v>
      </c>
      <c r="G206" s="19" t="s">
        <v>181</v>
      </c>
      <c r="H206" s="20">
        <v>40367</v>
      </c>
      <c r="I206" s="21">
        <v>15</v>
      </c>
      <c r="J206" s="177">
        <v>40372</v>
      </c>
      <c r="K206" s="178">
        <v>579</v>
      </c>
      <c r="L206" s="178">
        <v>619</v>
      </c>
      <c r="M206" s="179">
        <v>160707000</v>
      </c>
      <c r="N206" s="179">
        <v>0</v>
      </c>
      <c r="O206" s="179">
        <v>160707000</v>
      </c>
      <c r="P206" s="179">
        <v>91701569.186875895</v>
      </c>
      <c r="Q206" s="163">
        <v>9.0320508230167268E-2</v>
      </c>
      <c r="R206" s="163">
        <v>0</v>
      </c>
      <c r="S206" s="163">
        <v>1.6353938396981748E-2</v>
      </c>
      <c r="T206" s="164">
        <v>0.89332555337285102</v>
      </c>
      <c r="U206" s="6"/>
    </row>
    <row r="207" spans="2:21" ht="12.5" x14ac:dyDescent="0.25">
      <c r="B207" s="40" t="s">
        <v>364</v>
      </c>
      <c r="C207" s="41" t="s">
        <v>210</v>
      </c>
      <c r="D207" s="176" t="s">
        <v>118</v>
      </c>
      <c r="E207" s="176" t="s">
        <v>190</v>
      </c>
      <c r="F207" s="176" t="s">
        <v>24</v>
      </c>
      <c r="G207" s="19" t="s">
        <v>181</v>
      </c>
      <c r="H207" s="20">
        <v>40444</v>
      </c>
      <c r="I207" s="21">
        <v>28.158484041426377</v>
      </c>
      <c r="J207" s="177">
        <v>40448</v>
      </c>
      <c r="K207" s="178">
        <v>104109</v>
      </c>
      <c r="L207" s="178">
        <v>112827</v>
      </c>
      <c r="M207" s="179">
        <v>120248558770.3</v>
      </c>
      <c r="N207" s="179">
        <v>0</v>
      </c>
      <c r="O207" s="179">
        <v>120248558770.3</v>
      </c>
      <c r="P207" s="179">
        <v>70320794602.514618</v>
      </c>
      <c r="Q207" s="163">
        <v>3.2863317602476953E-2</v>
      </c>
      <c r="R207" s="163">
        <v>0.10250494062037488</v>
      </c>
      <c r="S207" s="163">
        <v>0.20213876330516317</v>
      </c>
      <c r="T207" s="164">
        <v>0.66249297847198485</v>
      </c>
      <c r="U207" s="6"/>
    </row>
    <row r="208" spans="2:21" ht="12.5" x14ac:dyDescent="0.25">
      <c r="B208" s="40" t="s">
        <v>316</v>
      </c>
      <c r="C208" s="41" t="s">
        <v>179</v>
      </c>
      <c r="D208" s="176" t="s">
        <v>98</v>
      </c>
      <c r="E208" s="176" t="s">
        <v>348</v>
      </c>
      <c r="F208" s="176" t="s">
        <v>24</v>
      </c>
      <c r="G208" s="19" t="s">
        <v>181</v>
      </c>
      <c r="H208" s="20">
        <v>40451</v>
      </c>
      <c r="I208" s="21">
        <v>19</v>
      </c>
      <c r="J208" s="177">
        <v>40455</v>
      </c>
      <c r="K208" s="178">
        <v>1173</v>
      </c>
      <c r="L208" s="178">
        <v>1701</v>
      </c>
      <c r="M208" s="179">
        <v>62326156</v>
      </c>
      <c r="N208" s="179">
        <v>623261560</v>
      </c>
      <c r="O208" s="179">
        <v>685587716</v>
      </c>
      <c r="P208" s="179">
        <v>406105743.39533234</v>
      </c>
      <c r="Q208" s="163">
        <v>8.9730049947394336E-2</v>
      </c>
      <c r="R208" s="163">
        <v>0.20560347087665731</v>
      </c>
      <c r="S208" s="163">
        <v>0.70320609128300071</v>
      </c>
      <c r="T208" s="164">
        <v>1.4603878929476035E-3</v>
      </c>
      <c r="U208" s="6"/>
    </row>
    <row r="209" spans="1:21" ht="12.5" x14ac:dyDescent="0.25">
      <c r="B209" s="40" t="s">
        <v>365</v>
      </c>
      <c r="C209" s="41" t="s">
        <v>179</v>
      </c>
      <c r="D209" s="180" t="s">
        <v>118</v>
      </c>
      <c r="E209" s="180" t="s">
        <v>202</v>
      </c>
      <c r="F209" s="180" t="s">
        <v>23</v>
      </c>
      <c r="G209" s="19" t="s">
        <v>181</v>
      </c>
      <c r="H209" s="20">
        <v>40472</v>
      </c>
      <c r="I209" s="21">
        <v>1200</v>
      </c>
      <c r="J209" s="181">
        <v>40476</v>
      </c>
      <c r="K209" s="182">
        <v>127</v>
      </c>
      <c r="L209" s="182">
        <v>646</v>
      </c>
      <c r="M209" s="183">
        <v>2474746800</v>
      </c>
      <c r="N209" s="183">
        <v>6253200</v>
      </c>
      <c r="O209" s="183">
        <v>2481000000</v>
      </c>
      <c r="P209" s="183">
        <v>1457183131.6809585</v>
      </c>
      <c r="Q209" s="163">
        <v>2.0300411522633746E-2</v>
      </c>
      <c r="R209" s="163">
        <v>0.12973159579332419</v>
      </c>
      <c r="S209" s="163">
        <v>0.84932784636488345</v>
      </c>
      <c r="T209" s="164">
        <v>6.4014631915866485E-4</v>
      </c>
      <c r="U209" s="6"/>
    </row>
    <row r="210" spans="1:21" ht="12.5" x14ac:dyDescent="0.25">
      <c r="B210" s="40" t="s">
        <v>262</v>
      </c>
      <c r="C210" s="41" t="s">
        <v>179</v>
      </c>
      <c r="D210" s="180" t="s">
        <v>87</v>
      </c>
      <c r="E210" s="180" t="s">
        <v>204</v>
      </c>
      <c r="F210" s="180" t="s">
        <v>24</v>
      </c>
      <c r="G210" s="19" t="s">
        <v>181</v>
      </c>
      <c r="H210" s="20">
        <v>40472</v>
      </c>
      <c r="I210" s="21">
        <v>37.51</v>
      </c>
      <c r="J210" s="177">
        <v>40476</v>
      </c>
      <c r="K210" s="178">
        <v>2035</v>
      </c>
      <c r="L210" s="178">
        <v>2215</v>
      </c>
      <c r="M210" s="179">
        <v>207055200</v>
      </c>
      <c r="N210" s="179">
        <v>0</v>
      </c>
      <c r="O210" s="179">
        <v>207055200</v>
      </c>
      <c r="P210" s="179">
        <v>121611182.89674616</v>
      </c>
      <c r="Q210" s="163">
        <v>8.5058695652173902E-2</v>
      </c>
      <c r="R210" s="163">
        <v>0.26343079710144923</v>
      </c>
      <c r="S210" s="163">
        <v>0.64918115942028976</v>
      </c>
      <c r="T210" s="164">
        <v>2.3293478260869565E-3</v>
      </c>
      <c r="U210" s="6"/>
    </row>
    <row r="211" spans="1:21" ht="12.5" x14ac:dyDescent="0.25">
      <c r="B211" s="40" t="s">
        <v>366</v>
      </c>
      <c r="C211" s="41" t="s">
        <v>179</v>
      </c>
      <c r="D211" s="19" t="s">
        <v>69</v>
      </c>
      <c r="E211" s="2" t="s">
        <v>185</v>
      </c>
      <c r="F211" s="201" t="s">
        <v>23</v>
      </c>
      <c r="G211" s="19" t="s">
        <v>181</v>
      </c>
      <c r="H211" s="20">
        <v>40479</v>
      </c>
      <c r="I211" s="193">
        <v>1350</v>
      </c>
      <c r="J211" s="194">
        <v>40483</v>
      </c>
      <c r="K211" s="195">
        <v>70</v>
      </c>
      <c r="L211" s="195">
        <v>472</v>
      </c>
      <c r="M211" s="196">
        <v>348097500</v>
      </c>
      <c r="N211" s="196">
        <v>296527500</v>
      </c>
      <c r="O211" s="196">
        <v>644625000</v>
      </c>
      <c r="P211" s="196">
        <v>378212274.11405778</v>
      </c>
      <c r="Q211" s="197">
        <v>4.862198952879581E-2</v>
      </c>
      <c r="R211" s="163">
        <v>0.15247748691099478</v>
      </c>
      <c r="S211" s="163">
        <v>0.79890052356020946</v>
      </c>
      <c r="T211" s="164">
        <v>0</v>
      </c>
      <c r="U211" s="6"/>
    </row>
    <row r="212" spans="1:21" ht="12.5" x14ac:dyDescent="0.25">
      <c r="B212" s="184" t="s">
        <v>274</v>
      </c>
      <c r="C212" s="74" t="s">
        <v>179</v>
      </c>
      <c r="D212" s="19" t="s">
        <v>98</v>
      </c>
      <c r="E212" s="2" t="s">
        <v>204</v>
      </c>
      <c r="F212" s="180" t="s">
        <v>24</v>
      </c>
      <c r="G212" s="19" t="s">
        <v>181</v>
      </c>
      <c r="H212" s="20">
        <v>40521</v>
      </c>
      <c r="I212" s="193">
        <v>36.700000000000003</v>
      </c>
      <c r="J212" s="194">
        <v>40525</v>
      </c>
      <c r="K212" s="195">
        <v>2124</v>
      </c>
      <c r="L212" s="195">
        <v>2484</v>
      </c>
      <c r="M212" s="196">
        <v>844100000</v>
      </c>
      <c r="N212" s="196">
        <v>0</v>
      </c>
      <c r="O212" s="196">
        <v>844100000</v>
      </c>
      <c r="P212" s="196">
        <v>495742056.73342335</v>
      </c>
      <c r="Q212" s="197">
        <v>8.5455130434782603E-2</v>
      </c>
      <c r="R212" s="163">
        <v>0.16158069565217387</v>
      </c>
      <c r="S212" s="163">
        <v>0.75078617391304348</v>
      </c>
      <c r="T212" s="164">
        <v>2.1779999999999998E-3</v>
      </c>
      <c r="U212" s="6"/>
    </row>
    <row r="213" spans="1:21" ht="13" thickBot="1" x14ac:dyDescent="0.3">
      <c r="B213" s="30" t="s">
        <v>367</v>
      </c>
      <c r="C213" s="31" t="s">
        <v>179</v>
      </c>
      <c r="D213" s="31" t="s">
        <v>103</v>
      </c>
      <c r="E213" s="31" t="s">
        <v>204</v>
      </c>
      <c r="F213" s="31" t="s">
        <v>23</v>
      </c>
      <c r="G213" s="31" t="s">
        <v>181</v>
      </c>
      <c r="H213" s="32">
        <v>40528</v>
      </c>
      <c r="I213" s="33">
        <v>24</v>
      </c>
      <c r="J213" s="65">
        <v>40532</v>
      </c>
      <c r="K213" s="66">
        <v>6672</v>
      </c>
      <c r="L213" s="66">
        <v>7477</v>
      </c>
      <c r="M213" s="67">
        <v>525655800</v>
      </c>
      <c r="N213" s="67">
        <v>129041880</v>
      </c>
      <c r="O213" s="67">
        <v>654697680</v>
      </c>
      <c r="P213" s="67">
        <v>383267579.90867579</v>
      </c>
      <c r="Q213" s="165">
        <v>8.561534539117352E-2</v>
      </c>
      <c r="R213" s="165">
        <v>0.26465674966192027</v>
      </c>
      <c r="S213" s="165">
        <v>0.6480352519349083</v>
      </c>
      <c r="T213" s="166">
        <v>1.6926530119978429E-3</v>
      </c>
      <c r="U213" s="6"/>
    </row>
    <row r="214" spans="1:21" ht="13" thickTop="1" x14ac:dyDescent="0.25">
      <c r="B214" s="40" t="s">
        <v>368</v>
      </c>
      <c r="C214" s="41" t="s">
        <v>179</v>
      </c>
      <c r="D214" s="41" t="s">
        <v>114</v>
      </c>
      <c r="E214" s="41" t="s">
        <v>204</v>
      </c>
      <c r="F214" s="41" t="s">
        <v>23</v>
      </c>
      <c r="G214" s="41" t="s">
        <v>181</v>
      </c>
      <c r="H214" s="42">
        <v>40574</v>
      </c>
      <c r="I214" s="43">
        <v>19</v>
      </c>
      <c r="J214" s="77">
        <v>40576</v>
      </c>
      <c r="K214" s="202">
        <v>8992</v>
      </c>
      <c r="L214" s="202">
        <v>9799</v>
      </c>
      <c r="M214" s="80">
        <v>195588242</v>
      </c>
      <c r="N214" s="80">
        <v>370220605</v>
      </c>
      <c r="O214" s="80">
        <v>565808847</v>
      </c>
      <c r="P214" s="80">
        <v>339397064.96310961</v>
      </c>
      <c r="Q214" s="167">
        <v>7.5768283276772444E-2</v>
      </c>
      <c r="R214" s="167">
        <v>0.22417204798496196</v>
      </c>
      <c r="S214" s="167">
        <v>0.69878059718638508</v>
      </c>
      <c r="T214" s="168">
        <v>1.2790715518804887E-3</v>
      </c>
      <c r="U214" s="6"/>
    </row>
    <row r="215" spans="1:21" ht="12.5" x14ac:dyDescent="0.25">
      <c r="B215" s="40" t="s">
        <v>369</v>
      </c>
      <c r="C215" s="41" t="s">
        <v>179</v>
      </c>
      <c r="D215" s="19" t="s">
        <v>87</v>
      </c>
      <c r="E215" s="2" t="s">
        <v>202</v>
      </c>
      <c r="F215" s="176" t="s">
        <v>23</v>
      </c>
      <c r="G215" s="2" t="s">
        <v>181</v>
      </c>
      <c r="H215" s="20">
        <v>40575</v>
      </c>
      <c r="I215" s="193">
        <v>20</v>
      </c>
      <c r="J215" s="194">
        <v>40577</v>
      </c>
      <c r="K215" s="195">
        <v>3389</v>
      </c>
      <c r="L215" s="195">
        <v>3739</v>
      </c>
      <c r="M215" s="196">
        <v>465020860</v>
      </c>
      <c r="N215" s="196">
        <v>0</v>
      </c>
      <c r="O215" s="196">
        <v>465020860</v>
      </c>
      <c r="P215" s="196">
        <v>278505635.74294782</v>
      </c>
      <c r="Q215" s="197">
        <v>8.8000427214554006E-2</v>
      </c>
      <c r="R215" s="163">
        <v>0.35426214890342478</v>
      </c>
      <c r="S215" s="163">
        <v>0.55478970200488498</v>
      </c>
      <c r="T215" s="164">
        <v>2.9477218771362559E-3</v>
      </c>
      <c r="U215" s="6"/>
    </row>
    <row r="216" spans="1:21" ht="12.5" x14ac:dyDescent="0.25">
      <c r="B216" s="40" t="s">
        <v>370</v>
      </c>
      <c r="C216" s="41" t="s">
        <v>179</v>
      </c>
      <c r="D216" s="19" t="s">
        <v>119</v>
      </c>
      <c r="E216" s="2" t="s">
        <v>204</v>
      </c>
      <c r="F216" s="180" t="s">
        <v>24</v>
      </c>
      <c r="G216" s="19" t="s">
        <v>181</v>
      </c>
      <c r="H216" s="20">
        <v>40575</v>
      </c>
      <c r="I216" s="193">
        <v>10</v>
      </c>
      <c r="J216" s="194">
        <v>40577</v>
      </c>
      <c r="K216" s="195">
        <v>2391</v>
      </c>
      <c r="L216" s="195">
        <v>2665</v>
      </c>
      <c r="M216" s="196">
        <v>398305000</v>
      </c>
      <c r="N216" s="196">
        <v>0</v>
      </c>
      <c r="O216" s="196">
        <v>398305000</v>
      </c>
      <c r="P216" s="196">
        <v>238548841.10918128</v>
      </c>
      <c r="Q216" s="197">
        <v>8.9707391304347822E-2</v>
      </c>
      <c r="R216" s="163">
        <v>0.39460777777777778</v>
      </c>
      <c r="S216" s="163">
        <v>0.5134309178743961</v>
      </c>
      <c r="T216" s="164">
        <v>2.2539130434782607E-3</v>
      </c>
      <c r="U216" s="6"/>
    </row>
    <row r="217" spans="1:21" ht="12.5" x14ac:dyDescent="0.25">
      <c r="B217" s="40" t="s">
        <v>371</v>
      </c>
      <c r="C217" s="41" t="s">
        <v>179</v>
      </c>
      <c r="D217" s="19" t="s">
        <v>120</v>
      </c>
      <c r="E217" s="2" t="s">
        <v>211</v>
      </c>
      <c r="F217" s="180" t="s">
        <v>23</v>
      </c>
      <c r="G217" s="19" t="s">
        <v>181</v>
      </c>
      <c r="H217" s="20">
        <v>40577</v>
      </c>
      <c r="I217" s="193">
        <v>14</v>
      </c>
      <c r="J217" s="194">
        <v>40581</v>
      </c>
      <c r="K217" s="195">
        <v>3545</v>
      </c>
      <c r="L217" s="195">
        <v>3837</v>
      </c>
      <c r="M217" s="196">
        <v>440752200</v>
      </c>
      <c r="N217" s="196">
        <v>13559420</v>
      </c>
      <c r="O217" s="196">
        <v>454311620</v>
      </c>
      <c r="P217" s="196">
        <v>270810455.41249406</v>
      </c>
      <c r="Q217" s="197">
        <v>8.6564052008444567E-2</v>
      </c>
      <c r="R217" s="163">
        <v>0.13552680250634339</v>
      </c>
      <c r="S217" s="163">
        <v>0.63921363606043569</v>
      </c>
      <c r="T217" s="164">
        <v>0.13869550942477635</v>
      </c>
      <c r="U217" s="6"/>
    </row>
    <row r="218" spans="1:21" ht="12.5" x14ac:dyDescent="0.25">
      <c r="B218" s="40" t="s">
        <v>372</v>
      </c>
      <c r="C218" s="41" t="s">
        <v>179</v>
      </c>
      <c r="D218" s="19" t="s">
        <v>121</v>
      </c>
      <c r="E218" s="2" t="s">
        <v>202</v>
      </c>
      <c r="F218" s="176" t="s">
        <v>24</v>
      </c>
      <c r="G218" s="19" t="s">
        <v>181</v>
      </c>
      <c r="H218" s="20">
        <v>40577</v>
      </c>
      <c r="I218" s="193">
        <v>7.9</v>
      </c>
      <c r="J218" s="194">
        <v>40581</v>
      </c>
      <c r="K218" s="195">
        <v>2729</v>
      </c>
      <c r="L218" s="195">
        <v>2874</v>
      </c>
      <c r="M218" s="196">
        <v>189303552.5</v>
      </c>
      <c r="N218" s="196">
        <v>0</v>
      </c>
      <c r="O218" s="196">
        <v>189303552.5</v>
      </c>
      <c r="P218" s="196">
        <v>112841888.710062</v>
      </c>
      <c r="Q218" s="197">
        <v>8.6013693015649026E-2</v>
      </c>
      <c r="R218" s="163">
        <v>9.8390440492742148E-2</v>
      </c>
      <c r="S218" s="163">
        <v>0.81355158003586503</v>
      </c>
      <c r="T218" s="164">
        <v>2.0442864557438122E-3</v>
      </c>
      <c r="U218" s="6"/>
    </row>
    <row r="219" spans="1:21" ht="12.5" x14ac:dyDescent="0.25">
      <c r="B219" s="40" t="s">
        <v>373</v>
      </c>
      <c r="C219" s="41" t="s">
        <v>179</v>
      </c>
      <c r="D219" s="19" t="s">
        <v>122</v>
      </c>
      <c r="E219" s="2" t="s">
        <v>204</v>
      </c>
      <c r="F219" s="176" t="s">
        <v>23</v>
      </c>
      <c r="G219" s="19" t="s">
        <v>181</v>
      </c>
      <c r="H219" s="20">
        <v>40581</v>
      </c>
      <c r="I219" s="193">
        <v>19</v>
      </c>
      <c r="J219" s="194">
        <v>40583</v>
      </c>
      <c r="K219" s="195">
        <v>8896</v>
      </c>
      <c r="L219" s="195">
        <v>9722</v>
      </c>
      <c r="M219" s="196">
        <v>1515079361</v>
      </c>
      <c r="N219" s="196">
        <v>0</v>
      </c>
      <c r="O219" s="196">
        <v>1515079361</v>
      </c>
      <c r="P219" s="196">
        <v>910340299.82575262</v>
      </c>
      <c r="Q219" s="197">
        <v>0.12466858493493795</v>
      </c>
      <c r="R219" s="163">
        <v>0.14722146954254497</v>
      </c>
      <c r="S219" s="163">
        <v>0.72067911497343673</v>
      </c>
      <c r="T219" s="164">
        <v>7.4308305490803925E-3</v>
      </c>
      <c r="U219" s="6"/>
    </row>
    <row r="220" spans="1:21" ht="12.5" x14ac:dyDescent="0.25">
      <c r="A220" s="50"/>
      <c r="B220" s="40" t="s">
        <v>353</v>
      </c>
      <c r="C220" s="41" t="s">
        <v>179</v>
      </c>
      <c r="D220" s="19" t="s">
        <v>82</v>
      </c>
      <c r="E220" s="2" t="s">
        <v>204</v>
      </c>
      <c r="F220" s="176" t="s">
        <v>24</v>
      </c>
      <c r="G220" s="19" t="s">
        <v>181</v>
      </c>
      <c r="H220" s="20">
        <v>40583</v>
      </c>
      <c r="I220" s="193">
        <v>11</v>
      </c>
      <c r="J220" s="194">
        <v>40585</v>
      </c>
      <c r="K220" s="195">
        <v>1162</v>
      </c>
      <c r="L220" s="195">
        <v>1336</v>
      </c>
      <c r="M220" s="196">
        <v>228800000</v>
      </c>
      <c r="N220" s="196">
        <v>79200000</v>
      </c>
      <c r="O220" s="196">
        <v>308000000</v>
      </c>
      <c r="P220" s="196">
        <v>184663349.12164998</v>
      </c>
      <c r="Q220" s="197">
        <v>0.10623077922077923</v>
      </c>
      <c r="R220" s="163">
        <v>8.482467532467533E-2</v>
      </c>
      <c r="S220" s="163">
        <v>0.80692808441558439</v>
      </c>
      <c r="T220" s="164">
        <v>2.016461038961039E-3</v>
      </c>
      <c r="U220" s="6"/>
    </row>
    <row r="221" spans="1:21" ht="12.5" x14ac:dyDescent="0.25">
      <c r="B221" s="40" t="s">
        <v>374</v>
      </c>
      <c r="C221" s="41" t="s">
        <v>179</v>
      </c>
      <c r="D221" s="19" t="s">
        <v>113</v>
      </c>
      <c r="E221" s="2" t="s">
        <v>204</v>
      </c>
      <c r="F221" s="176" t="s">
        <v>24</v>
      </c>
      <c r="G221" s="19" t="s">
        <v>181</v>
      </c>
      <c r="H221" s="20">
        <v>40585</v>
      </c>
      <c r="I221" s="193">
        <v>8.25</v>
      </c>
      <c r="J221" s="194">
        <v>40589</v>
      </c>
      <c r="K221" s="195">
        <v>1620</v>
      </c>
      <c r="L221" s="195">
        <v>1822</v>
      </c>
      <c r="M221" s="196">
        <v>278602500</v>
      </c>
      <c r="N221" s="196">
        <v>0</v>
      </c>
      <c r="O221" s="196">
        <v>278602500</v>
      </c>
      <c r="P221" s="196">
        <v>167007852.77544659</v>
      </c>
      <c r="Q221" s="197">
        <v>0.12608430559668346</v>
      </c>
      <c r="R221" s="163">
        <v>0.34393180337577733</v>
      </c>
      <c r="S221" s="163">
        <v>0.52754006514657981</v>
      </c>
      <c r="T221" s="164">
        <v>2.4438258809594314E-3</v>
      </c>
      <c r="U221" s="6"/>
    </row>
    <row r="222" spans="1:21" ht="12.5" x14ac:dyDescent="0.25">
      <c r="B222" s="40" t="s">
        <v>375</v>
      </c>
      <c r="C222" s="41" t="s">
        <v>179</v>
      </c>
      <c r="D222" s="19" t="s">
        <v>123</v>
      </c>
      <c r="E222" s="2" t="s">
        <v>348</v>
      </c>
      <c r="F222" s="176" t="s">
        <v>23</v>
      </c>
      <c r="G222" s="19" t="s">
        <v>181</v>
      </c>
      <c r="H222" s="20">
        <v>40605</v>
      </c>
      <c r="I222" s="193">
        <v>13.5</v>
      </c>
      <c r="J222" s="194">
        <v>40611</v>
      </c>
      <c r="K222" s="195">
        <v>669</v>
      </c>
      <c r="L222" s="195">
        <v>775</v>
      </c>
      <c r="M222" s="196">
        <v>320515987.5</v>
      </c>
      <c r="N222" s="196">
        <v>133079733</v>
      </c>
      <c r="O222" s="196">
        <v>453595720.5</v>
      </c>
      <c r="P222" s="196">
        <v>273927000.72468144</v>
      </c>
      <c r="Q222" s="197">
        <v>2.6061733975287802E-2</v>
      </c>
      <c r="R222" s="163">
        <v>4.086136765040313E-2</v>
      </c>
      <c r="S222" s="163">
        <v>0.93203641236734291</v>
      </c>
      <c r="T222" s="164">
        <v>1.0404860069661967E-3</v>
      </c>
      <c r="U222" s="6"/>
    </row>
    <row r="223" spans="1:21" ht="12.5" x14ac:dyDescent="0.25">
      <c r="B223" s="40" t="s">
        <v>376</v>
      </c>
      <c r="C223" s="41" t="s">
        <v>179</v>
      </c>
      <c r="D223" s="19" t="s">
        <v>124</v>
      </c>
      <c r="E223" s="2" t="s">
        <v>202</v>
      </c>
      <c r="F223" s="176" t="s">
        <v>23</v>
      </c>
      <c r="G223" s="19" t="s">
        <v>181</v>
      </c>
      <c r="H223" s="20">
        <v>40644</v>
      </c>
      <c r="I223" s="193">
        <v>16</v>
      </c>
      <c r="J223" s="194">
        <v>40646</v>
      </c>
      <c r="K223" s="195">
        <v>900</v>
      </c>
      <c r="L223" s="195">
        <v>1041</v>
      </c>
      <c r="M223" s="196">
        <v>187586208</v>
      </c>
      <c r="N223" s="196">
        <v>315476128</v>
      </c>
      <c r="O223" s="196">
        <v>503062336</v>
      </c>
      <c r="P223" s="196">
        <v>317109389.81341404</v>
      </c>
      <c r="Q223" s="197">
        <v>3.9950934669273609E-2</v>
      </c>
      <c r="R223" s="163">
        <v>5.0783762468071814E-2</v>
      </c>
      <c r="S223" s="163">
        <v>0.90842230029131132</v>
      </c>
      <c r="T223" s="164">
        <v>8.4300257134326461E-4</v>
      </c>
      <c r="U223" s="6"/>
    </row>
    <row r="224" spans="1:21" ht="12.5" x14ac:dyDescent="0.25">
      <c r="B224" s="40" t="s">
        <v>199</v>
      </c>
      <c r="C224" s="41" t="s">
        <v>189</v>
      </c>
      <c r="D224" s="19" t="s">
        <v>70</v>
      </c>
      <c r="E224" s="74" t="s">
        <v>348</v>
      </c>
      <c r="F224" s="203" t="s">
        <v>24</v>
      </c>
      <c r="G224" s="19" t="s">
        <v>181</v>
      </c>
      <c r="H224" s="20">
        <v>40645</v>
      </c>
      <c r="I224" s="193">
        <v>18.336658749391823</v>
      </c>
      <c r="J224" s="194">
        <v>40647</v>
      </c>
      <c r="K224" s="195">
        <v>10579</v>
      </c>
      <c r="L224" s="195">
        <v>12141</v>
      </c>
      <c r="M224" s="196">
        <v>3719719767.2919645</v>
      </c>
      <c r="N224" s="196">
        <v>1265229453.7080357</v>
      </c>
      <c r="O224" s="196">
        <v>4984949221</v>
      </c>
      <c r="P224" s="196">
        <v>3146666595.7581115</v>
      </c>
      <c r="Q224" s="197">
        <v>7.582816324036093E-2</v>
      </c>
      <c r="R224" s="163">
        <v>0.29844854643822538</v>
      </c>
      <c r="S224" s="163">
        <v>0.39040359926734458</v>
      </c>
      <c r="T224" s="164">
        <v>0.23531969105406925</v>
      </c>
      <c r="U224" s="6"/>
    </row>
    <row r="225" spans="2:21" ht="12.5" x14ac:dyDescent="0.25">
      <c r="B225" s="40" t="s">
        <v>377</v>
      </c>
      <c r="C225" s="41" t="s">
        <v>179</v>
      </c>
      <c r="D225" s="19" t="s">
        <v>125</v>
      </c>
      <c r="E225" s="2" t="s">
        <v>204</v>
      </c>
      <c r="F225" s="171" t="s">
        <v>23</v>
      </c>
      <c r="G225" s="19" t="s">
        <v>181</v>
      </c>
      <c r="H225" s="20">
        <v>40661</v>
      </c>
      <c r="I225" s="193">
        <v>16</v>
      </c>
      <c r="J225" s="194">
        <v>40665</v>
      </c>
      <c r="K225" s="195">
        <v>34496</v>
      </c>
      <c r="L225" s="195">
        <v>36995</v>
      </c>
      <c r="M225" s="196">
        <v>583911472</v>
      </c>
      <c r="N225" s="196">
        <v>302469264</v>
      </c>
      <c r="O225" s="196">
        <v>886380736</v>
      </c>
      <c r="P225" s="196">
        <v>562888636.56569505</v>
      </c>
      <c r="Q225" s="197">
        <v>0.20802924274677803</v>
      </c>
      <c r="R225" s="163">
        <v>0.30141201082666297</v>
      </c>
      <c r="S225" s="163">
        <v>0.46802855213326644</v>
      </c>
      <c r="T225" s="164">
        <v>2.2530194293292567E-2</v>
      </c>
      <c r="U225" s="6"/>
    </row>
    <row r="226" spans="2:21" ht="12.5" x14ac:dyDescent="0.25">
      <c r="B226" s="40" t="s">
        <v>378</v>
      </c>
      <c r="C226" s="41" t="s">
        <v>179</v>
      </c>
      <c r="D226" s="19" t="s">
        <v>87</v>
      </c>
      <c r="E226" s="2" t="s">
        <v>204</v>
      </c>
      <c r="F226" s="180" t="s">
        <v>24</v>
      </c>
      <c r="G226" s="19" t="s">
        <v>181</v>
      </c>
      <c r="H226" s="20">
        <v>40673</v>
      </c>
      <c r="I226" s="193">
        <v>17.2</v>
      </c>
      <c r="J226" s="194">
        <v>40675</v>
      </c>
      <c r="K226" s="195">
        <v>950</v>
      </c>
      <c r="L226" s="195">
        <v>1486</v>
      </c>
      <c r="M226" s="196">
        <v>731000000</v>
      </c>
      <c r="N226" s="196">
        <v>0</v>
      </c>
      <c r="O226" s="196">
        <v>731000000</v>
      </c>
      <c r="P226" s="196">
        <v>451039674.21484542</v>
      </c>
      <c r="Q226" s="197">
        <v>5.9335835294117636E-2</v>
      </c>
      <c r="R226" s="163">
        <v>0.22571101176470587</v>
      </c>
      <c r="S226" s="163">
        <v>0.71218957647058823</v>
      </c>
      <c r="T226" s="164">
        <v>2.7635764705882353E-3</v>
      </c>
      <c r="U226" s="6"/>
    </row>
    <row r="227" spans="2:21" ht="12.5" x14ac:dyDescent="0.25">
      <c r="B227" s="40" t="s">
        <v>379</v>
      </c>
      <c r="C227" s="41" t="s">
        <v>179</v>
      </c>
      <c r="D227" s="19" t="s">
        <v>103</v>
      </c>
      <c r="E227" s="2" t="s">
        <v>348</v>
      </c>
      <c r="F227" s="176" t="s">
        <v>23</v>
      </c>
      <c r="G227" s="19" t="s">
        <v>181</v>
      </c>
      <c r="H227" s="20">
        <v>40716</v>
      </c>
      <c r="I227" s="193">
        <v>17.25</v>
      </c>
      <c r="J227" s="194">
        <v>40721</v>
      </c>
      <c r="K227" s="195">
        <v>141</v>
      </c>
      <c r="L227" s="195">
        <v>372</v>
      </c>
      <c r="M227" s="196">
        <v>414000000</v>
      </c>
      <c r="N227" s="196">
        <v>0</v>
      </c>
      <c r="O227" s="196">
        <v>414000000</v>
      </c>
      <c r="P227" s="196">
        <v>259252301.33383432</v>
      </c>
      <c r="Q227" s="197">
        <v>0.10044444444444445</v>
      </c>
      <c r="R227" s="163">
        <v>0.33304866666666666</v>
      </c>
      <c r="S227" s="163">
        <v>0.5639142962962963</v>
      </c>
      <c r="T227" s="164">
        <v>2.5925925925925925E-3</v>
      </c>
      <c r="U227" s="6"/>
    </row>
    <row r="228" spans="2:21" ht="12.5" x14ac:dyDescent="0.25">
      <c r="B228" s="40" t="s">
        <v>380</v>
      </c>
      <c r="C228" s="41" t="s">
        <v>179</v>
      </c>
      <c r="D228" s="19" t="s">
        <v>68</v>
      </c>
      <c r="E228" s="2" t="s">
        <v>381</v>
      </c>
      <c r="F228" s="176" t="s">
        <v>23</v>
      </c>
      <c r="G228" s="19" t="s">
        <v>181</v>
      </c>
      <c r="H228" s="20">
        <v>40721</v>
      </c>
      <c r="I228" s="193">
        <v>13</v>
      </c>
      <c r="J228" s="194">
        <v>40723</v>
      </c>
      <c r="K228" s="195">
        <v>807</v>
      </c>
      <c r="L228" s="195">
        <v>997</v>
      </c>
      <c r="M228" s="196">
        <v>353852577</v>
      </c>
      <c r="N228" s="196">
        <v>731295305</v>
      </c>
      <c r="O228" s="196">
        <v>1085147882</v>
      </c>
      <c r="P228" s="196">
        <v>689858793.38842976</v>
      </c>
      <c r="Q228" s="197">
        <v>1.9884629881257051E-2</v>
      </c>
      <c r="R228" s="163">
        <v>8.3228770472778754E-2</v>
      </c>
      <c r="S228" s="163">
        <v>0.89637163020330168</v>
      </c>
      <c r="T228" s="164">
        <v>5.1496944266256242E-4</v>
      </c>
      <c r="U228" s="6"/>
    </row>
    <row r="229" spans="2:21" ht="12.5" x14ac:dyDescent="0.25">
      <c r="B229" s="40" t="s">
        <v>382</v>
      </c>
      <c r="C229" s="41" t="s">
        <v>179</v>
      </c>
      <c r="D229" s="19" t="s">
        <v>87</v>
      </c>
      <c r="E229" s="2" t="s">
        <v>204</v>
      </c>
      <c r="F229" s="176" t="s">
        <v>24</v>
      </c>
      <c r="G229" s="19" t="s">
        <v>181</v>
      </c>
      <c r="H229" s="20">
        <v>40722</v>
      </c>
      <c r="I229" s="193">
        <v>17.149999999999999</v>
      </c>
      <c r="J229" s="194">
        <v>40724</v>
      </c>
      <c r="K229" s="195">
        <v>607</v>
      </c>
      <c r="L229" s="195">
        <v>951</v>
      </c>
      <c r="M229" s="196">
        <v>690287500</v>
      </c>
      <c r="N229" s="196">
        <v>0</v>
      </c>
      <c r="O229" s="196">
        <v>690287500</v>
      </c>
      <c r="P229" s="196">
        <v>442180193.45333421</v>
      </c>
      <c r="Q229" s="197">
        <v>5.7693639751552783E-2</v>
      </c>
      <c r="R229" s="163">
        <v>0.24812397515527951</v>
      </c>
      <c r="S229" s="163">
        <v>0.68790832298136639</v>
      </c>
      <c r="T229" s="164">
        <v>6.2740621118012414E-3</v>
      </c>
      <c r="U229" s="6"/>
    </row>
    <row r="230" spans="2:21" ht="12.5" x14ac:dyDescent="0.25">
      <c r="B230" s="40" t="s">
        <v>383</v>
      </c>
      <c r="C230" s="41" t="s">
        <v>179</v>
      </c>
      <c r="D230" s="19" t="s">
        <v>126</v>
      </c>
      <c r="E230" s="2" t="s">
        <v>204</v>
      </c>
      <c r="F230" s="176" t="s">
        <v>23</v>
      </c>
      <c r="G230" s="19" t="s">
        <v>181</v>
      </c>
      <c r="H230" s="20">
        <v>40722</v>
      </c>
      <c r="I230" s="193">
        <v>16.5</v>
      </c>
      <c r="J230" s="194">
        <v>40725</v>
      </c>
      <c r="K230" s="195">
        <v>586</v>
      </c>
      <c r="L230" s="195">
        <v>739</v>
      </c>
      <c r="M230" s="196">
        <v>180608109</v>
      </c>
      <c r="N230" s="196">
        <v>280945945.5</v>
      </c>
      <c r="O230" s="196">
        <v>461554054.5</v>
      </c>
      <c r="P230" s="196">
        <v>295886950.76607472</v>
      </c>
      <c r="Q230" s="197">
        <v>5.7827210572147625E-2</v>
      </c>
      <c r="R230" s="163">
        <v>0.3897494199132856</v>
      </c>
      <c r="S230" s="163">
        <v>0.55167496854910636</v>
      </c>
      <c r="T230" s="164">
        <v>7.5161835676172141E-4</v>
      </c>
      <c r="U230" s="6"/>
    </row>
    <row r="231" spans="2:21" ht="12.5" x14ac:dyDescent="0.25">
      <c r="B231" s="40" t="s">
        <v>308</v>
      </c>
      <c r="C231" s="41" t="s">
        <v>184</v>
      </c>
      <c r="D231" s="19" t="s">
        <v>98</v>
      </c>
      <c r="E231" s="2" t="s">
        <v>204</v>
      </c>
      <c r="F231" s="176" t="s">
        <v>24</v>
      </c>
      <c r="G231" s="19" t="s">
        <v>181</v>
      </c>
      <c r="H231" s="20">
        <v>40723</v>
      </c>
      <c r="I231" s="193">
        <v>19.25</v>
      </c>
      <c r="J231" s="194">
        <v>40725</v>
      </c>
      <c r="K231" s="195">
        <v>413</v>
      </c>
      <c r="L231" s="195">
        <v>587</v>
      </c>
      <c r="M231" s="196">
        <v>380229850</v>
      </c>
      <c r="N231" s="196">
        <v>15400000</v>
      </c>
      <c r="O231" s="196">
        <v>395629850</v>
      </c>
      <c r="P231" s="196">
        <v>253625136.22668117</v>
      </c>
      <c r="Q231" s="197">
        <v>8.3583963759909397E-2</v>
      </c>
      <c r="R231" s="163">
        <v>0.19731646659116647</v>
      </c>
      <c r="S231" s="163">
        <v>0.71769019252548127</v>
      </c>
      <c r="T231" s="164">
        <v>1.4093771234428086E-3</v>
      </c>
      <c r="U231" s="6"/>
    </row>
    <row r="232" spans="2:21" ht="12.5" x14ac:dyDescent="0.25">
      <c r="B232" s="40" t="s">
        <v>384</v>
      </c>
      <c r="C232" s="41" t="s">
        <v>179</v>
      </c>
      <c r="D232" s="19" t="s">
        <v>120</v>
      </c>
      <c r="E232" s="2" t="s">
        <v>204</v>
      </c>
      <c r="F232" s="176" t="s">
        <v>24</v>
      </c>
      <c r="G232" s="19" t="s">
        <v>181</v>
      </c>
      <c r="H232" s="20">
        <v>40724</v>
      </c>
      <c r="I232" s="193">
        <v>41</v>
      </c>
      <c r="J232" s="194">
        <v>40729</v>
      </c>
      <c r="K232" s="195">
        <v>377</v>
      </c>
      <c r="L232" s="195">
        <v>619</v>
      </c>
      <c r="M232" s="196">
        <v>0</v>
      </c>
      <c r="N232" s="196">
        <v>305766315</v>
      </c>
      <c r="O232" s="196">
        <v>305766315</v>
      </c>
      <c r="P232" s="196">
        <v>195540266.67519343</v>
      </c>
      <c r="Q232" s="197">
        <v>8.9420187357390601E-2</v>
      </c>
      <c r="R232" s="163">
        <v>0.41020168490750974</v>
      </c>
      <c r="S232" s="163">
        <v>0.37887378880545819</v>
      </c>
      <c r="T232" s="164">
        <v>0.12150433892964148</v>
      </c>
      <c r="U232" s="6"/>
    </row>
    <row r="233" spans="2:21" ht="12.5" x14ac:dyDescent="0.25">
      <c r="B233" s="40" t="s">
        <v>216</v>
      </c>
      <c r="C233" s="41" t="s">
        <v>179</v>
      </c>
      <c r="D233" s="19" t="s">
        <v>65</v>
      </c>
      <c r="E233" s="2" t="s">
        <v>211</v>
      </c>
      <c r="F233" s="176" t="s">
        <v>24</v>
      </c>
      <c r="G233" s="19" t="s">
        <v>181</v>
      </c>
      <c r="H233" s="53">
        <v>40731</v>
      </c>
      <c r="I233" s="204">
        <v>37</v>
      </c>
      <c r="J233" s="194">
        <v>40735</v>
      </c>
      <c r="K233" s="195">
        <v>1278</v>
      </c>
      <c r="L233" s="195">
        <v>1816</v>
      </c>
      <c r="M233" s="196">
        <v>0</v>
      </c>
      <c r="N233" s="196">
        <v>810724020</v>
      </c>
      <c r="O233" s="196">
        <v>810724020</v>
      </c>
      <c r="P233" s="196">
        <v>513246404.15295017</v>
      </c>
      <c r="Q233" s="197">
        <v>0.10626512336466853</v>
      </c>
      <c r="R233" s="163">
        <v>0.29300804236687106</v>
      </c>
      <c r="S233" s="163">
        <v>0.59803344916313195</v>
      </c>
      <c r="T233" s="164">
        <v>2.6933851053284447E-3</v>
      </c>
      <c r="U233" s="6"/>
    </row>
    <row r="234" spans="2:21" ht="12.5" x14ac:dyDescent="0.25">
      <c r="B234" s="40" t="s">
        <v>385</v>
      </c>
      <c r="C234" s="41" t="s">
        <v>184</v>
      </c>
      <c r="D234" s="19" t="s">
        <v>127</v>
      </c>
      <c r="E234" s="2" t="s">
        <v>202</v>
      </c>
      <c r="F234" s="176" t="s">
        <v>23</v>
      </c>
      <c r="G234" s="19" t="s">
        <v>181</v>
      </c>
      <c r="H234" s="20">
        <v>40745</v>
      </c>
      <c r="I234" s="193">
        <v>20</v>
      </c>
      <c r="J234" s="194">
        <v>40750</v>
      </c>
      <c r="K234" s="195">
        <v>1394</v>
      </c>
      <c r="L234" s="195">
        <v>1604</v>
      </c>
      <c r="M234" s="196">
        <v>371134040</v>
      </c>
      <c r="N234" s="196">
        <v>0</v>
      </c>
      <c r="O234" s="196">
        <v>371134040</v>
      </c>
      <c r="P234" s="196">
        <v>241859915.28185076</v>
      </c>
      <c r="Q234" s="197">
        <v>0.11937944182078458</v>
      </c>
      <c r="R234" s="163">
        <v>0.35915771576161376</v>
      </c>
      <c r="S234" s="163">
        <v>0.42445698863183473</v>
      </c>
      <c r="T234" s="164">
        <v>9.7005853785766927E-2</v>
      </c>
      <c r="U234" s="6"/>
    </row>
    <row r="235" spans="2:21" ht="13" thickBot="1" x14ac:dyDescent="0.3">
      <c r="B235" s="61" t="s">
        <v>386</v>
      </c>
      <c r="C235" s="62" t="s">
        <v>179</v>
      </c>
      <c r="D235" s="31" t="s">
        <v>128</v>
      </c>
      <c r="E235" s="31" t="s">
        <v>204</v>
      </c>
      <c r="F235" s="31" t="s">
        <v>24</v>
      </c>
      <c r="G235" s="62" t="s">
        <v>181</v>
      </c>
      <c r="H235" s="63">
        <v>40820</v>
      </c>
      <c r="I235" s="64">
        <v>8.6</v>
      </c>
      <c r="J235" s="198">
        <v>40822</v>
      </c>
      <c r="K235" s="199">
        <v>650</v>
      </c>
      <c r="L235" s="199">
        <v>988</v>
      </c>
      <c r="M235" s="200">
        <v>1722221964.8</v>
      </c>
      <c r="N235" s="200">
        <v>0</v>
      </c>
      <c r="O235" s="200">
        <v>1722221964.8</v>
      </c>
      <c r="P235" s="200">
        <v>950663482.44645607</v>
      </c>
      <c r="Q235" s="165">
        <v>2.4841318990475345E-2</v>
      </c>
      <c r="R235" s="165">
        <v>7.5799673949205462E-2</v>
      </c>
      <c r="S235" s="165">
        <v>0.21454081759020427</v>
      </c>
      <c r="T235" s="166">
        <v>0.68481818947011508</v>
      </c>
      <c r="U235" s="6"/>
    </row>
    <row r="236" spans="2:21" ht="13" thickTop="1" x14ac:dyDescent="0.25">
      <c r="B236" s="40" t="s">
        <v>380</v>
      </c>
      <c r="C236" s="41" t="s">
        <v>179</v>
      </c>
      <c r="D236" s="201" t="s">
        <v>68</v>
      </c>
      <c r="E236" s="2" t="s">
        <v>202</v>
      </c>
      <c r="F236" s="41" t="s">
        <v>24</v>
      </c>
      <c r="G236" s="41" t="s">
        <v>181</v>
      </c>
      <c r="H236" s="42">
        <v>41016</v>
      </c>
      <c r="I236" s="43">
        <v>16.5</v>
      </c>
      <c r="J236" s="205">
        <v>41017</v>
      </c>
      <c r="K236" s="206">
        <v>731</v>
      </c>
      <c r="L236" s="206">
        <v>1077</v>
      </c>
      <c r="M236" s="206" t="s">
        <v>387</v>
      </c>
      <c r="N236" s="207">
        <v>758544451.5</v>
      </c>
      <c r="O236" s="207">
        <v>758544451.5</v>
      </c>
      <c r="P236" s="207">
        <v>405768937.35958064</v>
      </c>
      <c r="Q236" s="167">
        <v>6.4739987093557952E-2</v>
      </c>
      <c r="R236" s="167">
        <v>0.27328648187996141</v>
      </c>
      <c r="S236" s="167">
        <v>0.66053660337135822</v>
      </c>
      <c r="T236" s="168">
        <v>1.4369276551223973E-3</v>
      </c>
      <c r="U236" s="6"/>
    </row>
    <row r="237" spans="2:21" ht="12.5" x14ac:dyDescent="0.25">
      <c r="B237" s="40" t="s">
        <v>388</v>
      </c>
      <c r="C237" s="41" t="s">
        <v>179</v>
      </c>
      <c r="D237" s="19" t="s">
        <v>76</v>
      </c>
      <c r="E237" s="2" t="s">
        <v>204</v>
      </c>
      <c r="F237" s="180" t="s">
        <v>23</v>
      </c>
      <c r="G237" s="2" t="s">
        <v>181</v>
      </c>
      <c r="H237" s="20">
        <v>41018</v>
      </c>
      <c r="I237" s="193">
        <v>9</v>
      </c>
      <c r="J237" s="194">
        <v>41022</v>
      </c>
      <c r="K237" s="195">
        <v>239</v>
      </c>
      <c r="L237" s="195">
        <v>391</v>
      </c>
      <c r="M237" s="196">
        <v>163636362</v>
      </c>
      <c r="N237" s="196">
        <v>109343196</v>
      </c>
      <c r="O237" s="196">
        <v>272979558</v>
      </c>
      <c r="P237" s="196">
        <v>144709265.26717556</v>
      </c>
      <c r="Q237" s="197">
        <v>4.8338496074748306E-2</v>
      </c>
      <c r="R237" s="163">
        <v>0.48627252196232712</v>
      </c>
      <c r="S237" s="163">
        <v>0.4629975861543783</v>
      </c>
      <c r="T237" s="164">
        <v>2.3913958085462757E-3</v>
      </c>
      <c r="U237" s="6"/>
    </row>
    <row r="238" spans="2:21" ht="12.5" x14ac:dyDescent="0.25">
      <c r="B238" s="40" t="s">
        <v>389</v>
      </c>
      <c r="C238" s="41" t="s">
        <v>179</v>
      </c>
      <c r="D238" s="19" t="s">
        <v>95</v>
      </c>
      <c r="E238" s="2" t="s">
        <v>204</v>
      </c>
      <c r="F238" s="180" t="s">
        <v>24</v>
      </c>
      <c r="G238" s="19" t="s">
        <v>181</v>
      </c>
      <c r="H238" s="20">
        <v>41023</v>
      </c>
      <c r="I238" s="193">
        <v>15.83</v>
      </c>
      <c r="J238" s="194">
        <v>41024</v>
      </c>
      <c r="K238" s="195">
        <v>847</v>
      </c>
      <c r="L238" s="195">
        <v>949</v>
      </c>
      <c r="M238" s="196">
        <v>1361380000</v>
      </c>
      <c r="N238" s="196">
        <v>0</v>
      </c>
      <c r="O238" s="196">
        <v>1361380000</v>
      </c>
      <c r="P238" s="196">
        <v>723868772.26564574</v>
      </c>
      <c r="Q238" s="197">
        <v>3.4337870507847944E-2</v>
      </c>
      <c r="R238" s="163">
        <v>5.6549866989433657E-2</v>
      </c>
      <c r="S238" s="163">
        <v>0.32254015163034122</v>
      </c>
      <c r="T238" s="164">
        <v>0.58657211087237715</v>
      </c>
      <c r="U238" s="6"/>
    </row>
    <row r="239" spans="2:21" ht="12.5" x14ac:dyDescent="0.25">
      <c r="B239" s="40" t="s">
        <v>390</v>
      </c>
      <c r="C239" s="41" t="s">
        <v>210</v>
      </c>
      <c r="D239" s="19" t="s">
        <v>72</v>
      </c>
      <c r="E239" s="2" t="s">
        <v>348</v>
      </c>
      <c r="F239" s="176" t="s">
        <v>23</v>
      </c>
      <c r="G239" s="19" t="s">
        <v>181</v>
      </c>
      <c r="H239" s="20">
        <v>41023</v>
      </c>
      <c r="I239" s="193">
        <v>31.25</v>
      </c>
      <c r="J239" s="194">
        <v>41025</v>
      </c>
      <c r="K239" s="195">
        <v>6122</v>
      </c>
      <c r="L239" s="195">
        <v>7221</v>
      </c>
      <c r="M239" s="196">
        <v>2587500000</v>
      </c>
      <c r="N239" s="196">
        <v>646875000</v>
      </c>
      <c r="O239" s="196">
        <v>3234375000</v>
      </c>
      <c r="P239" s="196">
        <v>1713939377.8814054</v>
      </c>
      <c r="Q239" s="197">
        <v>9.7693487179487185E-2</v>
      </c>
      <c r="R239" s="163">
        <v>0.14050422222222222</v>
      </c>
      <c r="S239" s="163">
        <v>0.67565964957264957</v>
      </c>
      <c r="T239" s="164">
        <v>8.6142641025641023E-2</v>
      </c>
      <c r="U239" s="6"/>
    </row>
    <row r="240" spans="2:21" ht="12.5" x14ac:dyDescent="0.25">
      <c r="B240" s="40" t="s">
        <v>391</v>
      </c>
      <c r="C240" s="41" t="s">
        <v>179</v>
      </c>
      <c r="D240" s="19" t="s">
        <v>129</v>
      </c>
      <c r="E240" s="2" t="s">
        <v>348</v>
      </c>
      <c r="F240" s="176" t="s">
        <v>23</v>
      </c>
      <c r="G240" s="19" t="s">
        <v>181</v>
      </c>
      <c r="H240" s="20">
        <v>41024</v>
      </c>
      <c r="I240" s="193">
        <v>14</v>
      </c>
      <c r="J240" s="194">
        <v>41026</v>
      </c>
      <c r="K240" s="195">
        <v>774</v>
      </c>
      <c r="L240" s="195">
        <v>1040</v>
      </c>
      <c r="M240" s="196">
        <v>127909096</v>
      </c>
      <c r="N240" s="196">
        <v>297687082</v>
      </c>
      <c r="O240" s="196">
        <v>425596178</v>
      </c>
      <c r="P240" s="196">
        <v>225756512.83683428</v>
      </c>
      <c r="Q240" s="197">
        <v>3.8061361537884864E-2</v>
      </c>
      <c r="R240" s="163">
        <v>0.50769130262255313</v>
      </c>
      <c r="S240" s="163">
        <v>0.45133494126443963</v>
      </c>
      <c r="T240" s="164">
        <v>2.9123945751223356E-3</v>
      </c>
      <c r="U240" s="6"/>
    </row>
    <row r="241" spans="2:21" ht="12.5" x14ac:dyDescent="0.25">
      <c r="B241" s="40" t="s">
        <v>379</v>
      </c>
      <c r="C241" s="41" t="s">
        <v>179</v>
      </c>
      <c r="D241" s="19" t="s">
        <v>103</v>
      </c>
      <c r="E241" s="2" t="s">
        <v>348</v>
      </c>
      <c r="F241" s="176" t="s">
        <v>24</v>
      </c>
      <c r="G241" s="19" t="s">
        <v>181</v>
      </c>
      <c r="H241" s="20">
        <v>41081</v>
      </c>
      <c r="I241" s="193">
        <v>9.25</v>
      </c>
      <c r="J241" s="194">
        <v>41085</v>
      </c>
      <c r="K241" s="195">
        <v>18</v>
      </c>
      <c r="L241" s="195">
        <v>384</v>
      </c>
      <c r="M241" s="196">
        <v>488400000</v>
      </c>
      <c r="N241" s="196">
        <v>64750000</v>
      </c>
      <c r="O241" s="196">
        <v>553150000</v>
      </c>
      <c r="P241" s="196">
        <v>266990056.95530456</v>
      </c>
      <c r="Q241" s="197">
        <v>3.278344481605351E-3</v>
      </c>
      <c r="R241" s="163">
        <v>0.32102429765886287</v>
      </c>
      <c r="S241" s="163">
        <v>0.44901657190635452</v>
      </c>
      <c r="T241" s="164">
        <v>0.22668078595317726</v>
      </c>
      <c r="U241" s="6"/>
    </row>
    <row r="242" spans="2:21" ht="12.5" x14ac:dyDescent="0.25">
      <c r="B242" s="40" t="s">
        <v>271</v>
      </c>
      <c r="C242" s="41" t="s">
        <v>189</v>
      </c>
      <c r="D242" s="19" t="s">
        <v>95</v>
      </c>
      <c r="E242" s="2" t="s">
        <v>348</v>
      </c>
      <c r="F242" s="176" t="s">
        <v>24</v>
      </c>
      <c r="G242" s="19" t="s">
        <v>181</v>
      </c>
      <c r="H242" s="20">
        <v>41087</v>
      </c>
      <c r="I242" s="193">
        <v>4</v>
      </c>
      <c r="J242" s="194">
        <v>41089</v>
      </c>
      <c r="K242" s="195">
        <v>281</v>
      </c>
      <c r="L242" s="195">
        <v>484</v>
      </c>
      <c r="M242" s="196">
        <v>1463368856</v>
      </c>
      <c r="N242" s="196">
        <v>0</v>
      </c>
      <c r="O242" s="196">
        <v>1463368856</v>
      </c>
      <c r="P242" s="196">
        <v>723974103.79458761</v>
      </c>
      <c r="Q242" s="197">
        <v>0.12004917147788391</v>
      </c>
      <c r="R242" s="163">
        <v>0.15703294961631589</v>
      </c>
      <c r="S242" s="163">
        <v>9.8991528099804299E-2</v>
      </c>
      <c r="T242" s="164">
        <v>0.6239263508059959</v>
      </c>
      <c r="U242" s="6"/>
    </row>
    <row r="243" spans="2:21" ht="12.5" x14ac:dyDescent="0.25">
      <c r="B243" s="40" t="s">
        <v>392</v>
      </c>
      <c r="C243" s="41" t="s">
        <v>184</v>
      </c>
      <c r="D243" s="19" t="s">
        <v>65</v>
      </c>
      <c r="E243" s="2" t="s">
        <v>348</v>
      </c>
      <c r="F243" s="176" t="s">
        <v>24</v>
      </c>
      <c r="G243" s="19" t="s">
        <v>181</v>
      </c>
      <c r="H243" s="53">
        <v>41109</v>
      </c>
      <c r="I243" s="204">
        <v>65</v>
      </c>
      <c r="J243" s="194">
        <v>41110</v>
      </c>
      <c r="K243" s="195">
        <v>1547</v>
      </c>
      <c r="L243" s="195">
        <v>2184</v>
      </c>
      <c r="M243" s="196">
        <v>1755000000</v>
      </c>
      <c r="N243" s="196">
        <v>0</v>
      </c>
      <c r="O243" s="196">
        <v>1755000000</v>
      </c>
      <c r="P243" s="196">
        <v>867652148.11885107</v>
      </c>
      <c r="Q243" s="197">
        <v>3.8474296296296298E-2</v>
      </c>
      <c r="R243" s="163">
        <v>0.3166977777777778</v>
      </c>
      <c r="S243" s="163">
        <v>0.54748325925925923</v>
      </c>
      <c r="T243" s="164">
        <v>9.7344666666666663E-2</v>
      </c>
      <c r="U243" s="1"/>
    </row>
    <row r="244" spans="2:21" ht="12.5" x14ac:dyDescent="0.25">
      <c r="B244" s="40" t="s">
        <v>304</v>
      </c>
      <c r="C244" s="41" t="s">
        <v>179</v>
      </c>
      <c r="D244" s="19" t="s">
        <v>91</v>
      </c>
      <c r="E244" s="2" t="s">
        <v>348</v>
      </c>
      <c r="F244" s="176" t="s">
        <v>24</v>
      </c>
      <c r="G244" s="19" t="s">
        <v>181</v>
      </c>
      <c r="H244" s="20">
        <v>41241</v>
      </c>
      <c r="I244" s="193">
        <v>11</v>
      </c>
      <c r="J244" s="194">
        <v>41243</v>
      </c>
      <c r="K244" s="195">
        <v>1142</v>
      </c>
      <c r="L244" s="195">
        <v>1483</v>
      </c>
      <c r="M244" s="196">
        <v>415391900</v>
      </c>
      <c r="N244" s="196">
        <v>82500000</v>
      </c>
      <c r="O244" s="196">
        <v>497891900</v>
      </c>
      <c r="P244" s="196">
        <v>236258849.76748598</v>
      </c>
      <c r="Q244" s="197">
        <v>9.5067259259259254E-2</v>
      </c>
      <c r="R244" s="163">
        <v>0.41931348148148151</v>
      </c>
      <c r="S244" s="163">
        <v>0.43512325925925927</v>
      </c>
      <c r="T244" s="164">
        <v>5.0495999999999999E-2</v>
      </c>
      <c r="U244" s="1"/>
    </row>
    <row r="245" spans="2:21" ht="12.5" x14ac:dyDescent="0.25">
      <c r="B245" s="40" t="s">
        <v>298</v>
      </c>
      <c r="C245" s="41" t="s">
        <v>179</v>
      </c>
      <c r="D245" s="19" t="s">
        <v>91</v>
      </c>
      <c r="E245" s="2" t="s">
        <v>204</v>
      </c>
      <c r="F245" s="176" t="s">
        <v>24</v>
      </c>
      <c r="G245" s="19" t="s">
        <v>181</v>
      </c>
      <c r="H245" s="53">
        <v>41247</v>
      </c>
      <c r="I245" s="204">
        <v>8</v>
      </c>
      <c r="J245" s="194">
        <v>41249</v>
      </c>
      <c r="K245" s="195">
        <v>2439</v>
      </c>
      <c r="L245" s="195">
        <v>2881</v>
      </c>
      <c r="M245" s="196">
        <v>1050000000.0000001</v>
      </c>
      <c r="N245" s="196">
        <v>0</v>
      </c>
      <c r="O245" s="196">
        <v>1050000000.0000001</v>
      </c>
      <c r="P245" s="195">
        <v>503935496.2564792</v>
      </c>
      <c r="Q245" s="197">
        <v>3.1339489523809522E-2</v>
      </c>
      <c r="R245" s="163">
        <v>0.25312121142857141</v>
      </c>
      <c r="S245" s="163">
        <v>0.53749121523809529</v>
      </c>
      <c r="T245" s="164">
        <v>0.1780480838095238</v>
      </c>
      <c r="U245" s="1"/>
    </row>
    <row r="246" spans="2:21" ht="12.5" x14ac:dyDescent="0.25">
      <c r="B246" s="40" t="s">
        <v>231</v>
      </c>
      <c r="C246" s="41" t="s">
        <v>179</v>
      </c>
      <c r="D246" s="19" t="s">
        <v>65</v>
      </c>
      <c r="E246" s="2" t="s">
        <v>348</v>
      </c>
      <c r="F246" s="176" t="s">
        <v>24</v>
      </c>
      <c r="G246" s="19" t="s">
        <v>181</v>
      </c>
      <c r="H246" s="20">
        <v>41250</v>
      </c>
      <c r="I246" s="193">
        <v>16</v>
      </c>
      <c r="J246" s="194">
        <v>41253</v>
      </c>
      <c r="K246" s="195">
        <v>3146</v>
      </c>
      <c r="L246" s="195">
        <v>3554</v>
      </c>
      <c r="M246" s="196">
        <v>1210113984</v>
      </c>
      <c r="N246" s="196">
        <v>210454608</v>
      </c>
      <c r="O246" s="196">
        <v>1420568592</v>
      </c>
      <c r="P246" s="195">
        <v>682637478.13551176</v>
      </c>
      <c r="Q246" s="197">
        <v>6.7058207915102211E-2</v>
      </c>
      <c r="R246" s="163">
        <v>0.51489046014330009</v>
      </c>
      <c r="S246" s="163">
        <v>0.41591203080745009</v>
      </c>
      <c r="T246" s="164">
        <v>4.2392602750152874E-3</v>
      </c>
      <c r="U246" s="1"/>
    </row>
    <row r="247" spans="2:21" ht="13" thickBot="1" x14ac:dyDescent="0.3">
      <c r="B247" s="61" t="s">
        <v>355</v>
      </c>
      <c r="C247" s="62" t="s">
        <v>179</v>
      </c>
      <c r="D247" s="31" t="s">
        <v>87</v>
      </c>
      <c r="E247" s="31" t="s">
        <v>204</v>
      </c>
      <c r="F247" s="31" t="s">
        <v>24</v>
      </c>
      <c r="G247" s="62" t="s">
        <v>181</v>
      </c>
      <c r="H247" s="63">
        <v>41255</v>
      </c>
      <c r="I247" s="64">
        <v>23.25</v>
      </c>
      <c r="J247" s="198">
        <v>41257</v>
      </c>
      <c r="K247" s="199">
        <v>3613</v>
      </c>
      <c r="L247" s="199">
        <v>3998</v>
      </c>
      <c r="M247" s="200">
        <v>447629692.5</v>
      </c>
      <c r="N247" s="200">
        <v>0</v>
      </c>
      <c r="O247" s="200">
        <v>447629692.5</v>
      </c>
      <c r="P247" s="200">
        <v>214793518.47408828</v>
      </c>
      <c r="Q247" s="165">
        <v>0.10899973977932663</v>
      </c>
      <c r="R247" s="165">
        <v>0.36462598602079999</v>
      </c>
      <c r="S247" s="165">
        <v>0.52315101784719076</v>
      </c>
      <c r="T247" s="166">
        <v>3.2232563526826364E-3</v>
      </c>
      <c r="U247" s="1"/>
    </row>
    <row r="248" spans="2:21" ht="13" thickTop="1" x14ac:dyDescent="0.25">
      <c r="B248" s="73" t="s">
        <v>316</v>
      </c>
      <c r="C248" s="208" t="s">
        <v>179</v>
      </c>
      <c r="D248" s="208" t="s">
        <v>98</v>
      </c>
      <c r="E248" s="209" t="s">
        <v>202</v>
      </c>
      <c r="F248" s="210" t="s">
        <v>24</v>
      </c>
      <c r="G248" s="211" t="s">
        <v>181</v>
      </c>
      <c r="H248" s="75">
        <v>41297</v>
      </c>
      <c r="I248" s="76">
        <v>42</v>
      </c>
      <c r="J248" s="212">
        <v>41302</v>
      </c>
      <c r="K248" s="213">
        <v>6213</v>
      </c>
      <c r="L248" s="214">
        <v>6708</v>
      </c>
      <c r="M248" s="192">
        <v>616858200</v>
      </c>
      <c r="N248" s="215">
        <v>151826346</v>
      </c>
      <c r="O248" s="215">
        <v>768684546</v>
      </c>
      <c r="P248" s="215">
        <v>379766091.59626502</v>
      </c>
      <c r="Q248" s="216">
        <v>0.10314023927313351</v>
      </c>
      <c r="R248" s="216">
        <v>0.34422896541489728</v>
      </c>
      <c r="S248" s="217">
        <v>0.55040502921727785</v>
      </c>
      <c r="T248" s="218">
        <v>2.2257660946913326E-3</v>
      </c>
      <c r="U248" s="1"/>
    </row>
    <row r="249" spans="2:21" ht="12.5" x14ac:dyDescent="0.25">
      <c r="B249" s="40" t="s">
        <v>393</v>
      </c>
      <c r="C249" s="41" t="s">
        <v>179</v>
      </c>
      <c r="D249" s="19" t="s">
        <v>83</v>
      </c>
      <c r="E249" s="2" t="s">
        <v>202</v>
      </c>
      <c r="F249" s="180" t="s">
        <v>23</v>
      </c>
      <c r="G249" s="19" t="s">
        <v>181</v>
      </c>
      <c r="H249" s="20">
        <v>41311</v>
      </c>
      <c r="I249" s="193">
        <v>27</v>
      </c>
      <c r="J249" s="194">
        <v>41313</v>
      </c>
      <c r="K249" s="195">
        <v>6247</v>
      </c>
      <c r="L249" s="195">
        <v>6923</v>
      </c>
      <c r="M249" s="196">
        <v>343102500</v>
      </c>
      <c r="N249" s="196">
        <v>184747500</v>
      </c>
      <c r="O249" s="196">
        <v>527850000</v>
      </c>
      <c r="P249" s="195">
        <v>268817478.10144633</v>
      </c>
      <c r="Q249" s="197">
        <v>0.11018925831202046</v>
      </c>
      <c r="R249" s="163">
        <v>0.26624680306905368</v>
      </c>
      <c r="S249" s="163">
        <v>0.6218769309462916</v>
      </c>
      <c r="T249" s="164">
        <v>1.6870076726342711E-3</v>
      </c>
      <c r="U249" s="1"/>
    </row>
    <row r="250" spans="2:21" ht="12.5" x14ac:dyDescent="0.25">
      <c r="B250" s="40" t="s">
        <v>394</v>
      </c>
      <c r="C250" s="41" t="s">
        <v>337</v>
      </c>
      <c r="D250" s="19" t="s">
        <v>83</v>
      </c>
      <c r="E250" s="2" t="s">
        <v>395</v>
      </c>
      <c r="F250" s="176" t="s">
        <v>23</v>
      </c>
      <c r="G250" s="19" t="s">
        <v>181</v>
      </c>
      <c r="H250" s="20">
        <v>41339</v>
      </c>
      <c r="I250" s="193">
        <v>11.5</v>
      </c>
      <c r="J250" s="194">
        <v>41341</v>
      </c>
      <c r="K250" s="195">
        <v>1221</v>
      </c>
      <c r="L250" s="195">
        <v>1318</v>
      </c>
      <c r="M250" s="196">
        <v>39655162.5</v>
      </c>
      <c r="N250" s="196">
        <v>17806830</v>
      </c>
      <c r="O250" s="196">
        <v>57461992.5</v>
      </c>
      <c r="P250" s="195">
        <v>29425436.552642357</v>
      </c>
      <c r="Q250" s="197">
        <v>0.31035520386469501</v>
      </c>
      <c r="R250" s="163">
        <v>0.45096289090133984</v>
      </c>
      <c r="S250" s="163">
        <v>0.13112350064131076</v>
      </c>
      <c r="T250" s="164">
        <v>0.10755840459265438</v>
      </c>
      <c r="U250" s="1"/>
    </row>
    <row r="251" spans="2:21" ht="12.5" x14ac:dyDescent="0.25">
      <c r="B251" s="40" t="s">
        <v>314</v>
      </c>
      <c r="C251" s="41" t="s">
        <v>184</v>
      </c>
      <c r="D251" s="19" t="s">
        <v>87</v>
      </c>
      <c r="E251" s="2" t="s">
        <v>202</v>
      </c>
      <c r="F251" s="176" t="s">
        <v>24</v>
      </c>
      <c r="G251" s="19" t="s">
        <v>181</v>
      </c>
      <c r="H251" s="20">
        <v>41360</v>
      </c>
      <c r="I251" s="193">
        <v>58</v>
      </c>
      <c r="J251" s="194">
        <v>41365</v>
      </c>
      <c r="K251" s="195">
        <v>8158</v>
      </c>
      <c r="L251" s="195">
        <v>8887</v>
      </c>
      <c r="M251" s="196">
        <v>626400000</v>
      </c>
      <c r="N251" s="196">
        <v>0</v>
      </c>
      <c r="O251" s="196">
        <v>626400000</v>
      </c>
      <c r="P251" s="195">
        <v>310314079.06469828</v>
      </c>
      <c r="Q251" s="197">
        <v>0.10256872427983539</v>
      </c>
      <c r="R251" s="163">
        <v>0.24916090534979424</v>
      </c>
      <c r="S251" s="163">
        <v>0.50307950617283947</v>
      </c>
      <c r="T251" s="164">
        <v>0.14519086419753086</v>
      </c>
      <c r="U251" s="1"/>
    </row>
    <row r="252" spans="2:21" ht="12.5" x14ac:dyDescent="0.25">
      <c r="B252" s="40" t="s">
        <v>396</v>
      </c>
      <c r="C252" s="41" t="s">
        <v>179</v>
      </c>
      <c r="D252" s="19" t="s">
        <v>96</v>
      </c>
      <c r="E252" s="2" t="s">
        <v>348</v>
      </c>
      <c r="F252" s="176" t="s">
        <v>23</v>
      </c>
      <c r="G252" s="19" t="s">
        <v>181</v>
      </c>
      <c r="H252" s="20">
        <v>41379</v>
      </c>
      <c r="I252" s="193">
        <v>15</v>
      </c>
      <c r="J252" s="194">
        <v>41383</v>
      </c>
      <c r="K252" s="195">
        <v>890</v>
      </c>
      <c r="L252" s="195">
        <v>961</v>
      </c>
      <c r="M252" s="196">
        <v>700000005</v>
      </c>
      <c r="N252" s="196">
        <v>0</v>
      </c>
      <c r="O252" s="196">
        <v>700000005</v>
      </c>
      <c r="P252" s="195">
        <v>348449402.65817112</v>
      </c>
      <c r="Q252" s="197">
        <v>2.086973870768085E-2</v>
      </c>
      <c r="R252" s="163">
        <v>0.21189738606233138</v>
      </c>
      <c r="S252" s="163">
        <v>0.76653719754712113</v>
      </c>
      <c r="T252" s="164">
        <v>6.9567768286663337E-4</v>
      </c>
      <c r="U252" s="1"/>
    </row>
    <row r="253" spans="2:21" ht="12.5" x14ac:dyDescent="0.25">
      <c r="B253" s="40" t="s">
        <v>397</v>
      </c>
      <c r="C253" s="41" t="s">
        <v>179</v>
      </c>
      <c r="D253" s="19" t="s">
        <v>130</v>
      </c>
      <c r="E253" s="2" t="s">
        <v>204</v>
      </c>
      <c r="F253" s="176" t="s">
        <v>24</v>
      </c>
      <c r="G253" s="19" t="s">
        <v>181</v>
      </c>
      <c r="H253" s="20">
        <v>41382</v>
      </c>
      <c r="I253" s="193">
        <v>17.5</v>
      </c>
      <c r="J253" s="194">
        <v>41386</v>
      </c>
      <c r="K253" s="195">
        <v>3776</v>
      </c>
      <c r="L253" s="195">
        <v>3963</v>
      </c>
      <c r="M253" s="196">
        <v>355490520</v>
      </c>
      <c r="N253" s="196">
        <v>0</v>
      </c>
      <c r="O253" s="196">
        <v>355490520</v>
      </c>
      <c r="P253" s="195">
        <v>176387079.48794284</v>
      </c>
      <c r="Q253" s="197">
        <v>0.19179686986311137</v>
      </c>
      <c r="R253" s="163">
        <v>0.20063567535169541</v>
      </c>
      <c r="S253" s="163">
        <v>0.59189922099416914</v>
      </c>
      <c r="T253" s="164">
        <v>1.5668233791024031E-2</v>
      </c>
      <c r="U253" s="1"/>
    </row>
    <row r="254" spans="2:21" ht="12.5" x14ac:dyDescent="0.25">
      <c r="B254" s="40" t="s">
        <v>398</v>
      </c>
      <c r="C254" s="41" t="s">
        <v>184</v>
      </c>
      <c r="D254" s="19" t="s">
        <v>65</v>
      </c>
      <c r="E254" s="2" t="s">
        <v>204</v>
      </c>
      <c r="F254" s="176" t="s">
        <v>23</v>
      </c>
      <c r="G254" s="19" t="s">
        <v>181</v>
      </c>
      <c r="H254" s="20">
        <v>41386</v>
      </c>
      <c r="I254" s="193">
        <v>18.5</v>
      </c>
      <c r="J254" s="194">
        <v>41388</v>
      </c>
      <c r="K254" s="195">
        <v>4935</v>
      </c>
      <c r="L254" s="195">
        <v>5310</v>
      </c>
      <c r="M254" s="196">
        <v>821226100</v>
      </c>
      <c r="N254" s="196">
        <v>0</v>
      </c>
      <c r="O254" s="196">
        <v>821226100</v>
      </c>
      <c r="P254" s="195">
        <v>405663949.81229007</v>
      </c>
      <c r="Q254" s="197">
        <v>0.14884397826086956</v>
      </c>
      <c r="R254" s="163">
        <v>0.29556986956521741</v>
      </c>
      <c r="S254" s="163">
        <v>0.54857250000000002</v>
      </c>
      <c r="T254" s="164">
        <v>7.0136521739130432E-3</v>
      </c>
      <c r="U254" s="1"/>
    </row>
    <row r="255" spans="2:21" ht="12.5" x14ac:dyDescent="0.25">
      <c r="B255" s="40" t="s">
        <v>385</v>
      </c>
      <c r="C255" s="41" t="s">
        <v>184</v>
      </c>
      <c r="D255" s="19" t="s">
        <v>84</v>
      </c>
      <c r="E255" s="2" t="s">
        <v>204</v>
      </c>
      <c r="F255" s="176" t="s">
        <v>24</v>
      </c>
      <c r="G255" s="19" t="s">
        <v>181</v>
      </c>
      <c r="H255" s="20">
        <v>41388</v>
      </c>
      <c r="I255" s="193">
        <v>45</v>
      </c>
      <c r="J255" s="194">
        <v>41390</v>
      </c>
      <c r="K255" s="195">
        <v>3026</v>
      </c>
      <c r="L255" s="195">
        <v>3269</v>
      </c>
      <c r="M255" s="196">
        <v>126673920</v>
      </c>
      <c r="N255" s="196">
        <v>395222535</v>
      </c>
      <c r="O255" s="196">
        <v>521896455</v>
      </c>
      <c r="P255" s="195">
        <v>259404769.12371394</v>
      </c>
      <c r="Q255" s="197">
        <v>0.12328643514176947</v>
      </c>
      <c r="R255" s="163">
        <v>0.29670598176568308</v>
      </c>
      <c r="S255" s="163">
        <v>0.54130798585114526</v>
      </c>
      <c r="T255" s="164">
        <v>3.8699597241402213E-2</v>
      </c>
      <c r="U255" s="1"/>
    </row>
    <row r="256" spans="2:21" ht="12.5" x14ac:dyDescent="0.25">
      <c r="B256" s="40" t="s">
        <v>399</v>
      </c>
      <c r="C256" s="41" t="s">
        <v>179</v>
      </c>
      <c r="D256" s="19" t="s">
        <v>69</v>
      </c>
      <c r="E256" s="2" t="s">
        <v>243</v>
      </c>
      <c r="F256" s="176" t="s">
        <v>23</v>
      </c>
      <c r="G256" s="19" t="s">
        <v>181</v>
      </c>
      <c r="H256" s="20">
        <v>41389</v>
      </c>
      <c r="I256" s="193">
        <v>17</v>
      </c>
      <c r="J256" s="194">
        <v>41393</v>
      </c>
      <c r="K256" s="195">
        <v>103359</v>
      </c>
      <c r="L256" s="195">
        <v>114335</v>
      </c>
      <c r="M256" s="196">
        <v>0</v>
      </c>
      <c r="N256" s="196">
        <v>11475000000</v>
      </c>
      <c r="O256" s="196">
        <v>11475000000</v>
      </c>
      <c r="P256" s="195">
        <v>5737786889.3444672</v>
      </c>
      <c r="Q256" s="197">
        <v>0.16073981925925926</v>
      </c>
      <c r="R256" s="163">
        <v>0.23057455851851852</v>
      </c>
      <c r="S256" s="163">
        <v>0.58362914222222217</v>
      </c>
      <c r="T256" s="164">
        <v>2.5056479999999999E-2</v>
      </c>
      <c r="U256" s="1"/>
    </row>
    <row r="257" spans="2:21" ht="12.5" x14ac:dyDescent="0.25">
      <c r="B257" s="40" t="s">
        <v>400</v>
      </c>
      <c r="C257" s="41" t="s">
        <v>179</v>
      </c>
      <c r="D257" s="19" t="s">
        <v>117</v>
      </c>
      <c r="E257" s="2" t="s">
        <v>202</v>
      </c>
      <c r="F257" s="180" t="s">
        <v>23</v>
      </c>
      <c r="G257" s="19" t="s">
        <v>181</v>
      </c>
      <c r="H257" s="20">
        <v>41389</v>
      </c>
      <c r="I257" s="193">
        <v>21.7</v>
      </c>
      <c r="J257" s="194">
        <v>41393</v>
      </c>
      <c r="K257" s="195">
        <v>3655</v>
      </c>
      <c r="L257" s="195">
        <v>4096</v>
      </c>
      <c r="M257" s="196">
        <v>1132173890.3999999</v>
      </c>
      <c r="N257" s="196">
        <v>0</v>
      </c>
      <c r="O257" s="196">
        <v>1132173890.3999999</v>
      </c>
      <c r="P257" s="195">
        <v>566115250.96254802</v>
      </c>
      <c r="Q257" s="197">
        <v>9.4462631055919288E-2</v>
      </c>
      <c r="R257" s="163">
        <v>0.14487493289749867</v>
      </c>
      <c r="S257" s="163">
        <v>0.40182225553644513</v>
      </c>
      <c r="T257" s="164">
        <v>0.358840180510137</v>
      </c>
      <c r="U257" s="1"/>
    </row>
    <row r="258" spans="2:21" ht="12.5" x14ac:dyDescent="0.25">
      <c r="B258" s="40" t="s">
        <v>269</v>
      </c>
      <c r="C258" s="41" t="s">
        <v>179</v>
      </c>
      <c r="D258" s="19" t="s">
        <v>87</v>
      </c>
      <c r="E258" s="2" t="s">
        <v>204</v>
      </c>
      <c r="F258" s="176" t="s">
        <v>24</v>
      </c>
      <c r="G258" s="19" t="s">
        <v>181</v>
      </c>
      <c r="H258" s="20">
        <v>41429</v>
      </c>
      <c r="I258" s="193">
        <v>23.5</v>
      </c>
      <c r="J258" s="194">
        <v>41431</v>
      </c>
      <c r="K258" s="195">
        <v>1892</v>
      </c>
      <c r="L258" s="195">
        <v>2082</v>
      </c>
      <c r="M258" s="196">
        <v>425364100</v>
      </c>
      <c r="N258" s="196">
        <v>0</v>
      </c>
      <c r="O258" s="196">
        <v>425364100</v>
      </c>
      <c r="P258" s="195">
        <v>200171341.17647058</v>
      </c>
      <c r="Q258" s="197">
        <v>9.7606521739130439E-2</v>
      </c>
      <c r="R258" s="163">
        <v>0.21499217391304348</v>
      </c>
      <c r="S258" s="163">
        <v>0.57553108695652178</v>
      </c>
      <c r="T258" s="164">
        <v>0.11187021739130434</v>
      </c>
      <c r="U258" s="1"/>
    </row>
    <row r="259" spans="2:21" ht="12.5" x14ac:dyDescent="0.25">
      <c r="B259" s="40" t="s">
        <v>401</v>
      </c>
      <c r="C259" s="41" t="s">
        <v>179</v>
      </c>
      <c r="D259" s="19" t="s">
        <v>131</v>
      </c>
      <c r="E259" s="2" t="s">
        <v>381</v>
      </c>
      <c r="F259" s="176" t="s">
        <v>23</v>
      </c>
      <c r="G259" s="19" t="s">
        <v>181</v>
      </c>
      <c r="H259" s="20">
        <v>41472</v>
      </c>
      <c r="I259" s="193">
        <v>12.51</v>
      </c>
      <c r="J259" s="194">
        <v>41474</v>
      </c>
      <c r="K259" s="195">
        <v>1260</v>
      </c>
      <c r="L259" s="195">
        <v>1321</v>
      </c>
      <c r="M259" s="196">
        <v>364687304.13</v>
      </c>
      <c r="N259" s="196">
        <v>549999998.27999997</v>
      </c>
      <c r="O259" s="196">
        <v>914687302.40999997</v>
      </c>
      <c r="P259" s="195">
        <v>408999866.93346447</v>
      </c>
      <c r="Q259" s="197">
        <v>2.6374806171279609E-2</v>
      </c>
      <c r="R259" s="163">
        <v>0.4484682432779265</v>
      </c>
      <c r="S259" s="163">
        <v>0.24915857438532565</v>
      </c>
      <c r="T259" s="164">
        <v>0.27599837616546824</v>
      </c>
      <c r="U259" s="1"/>
    </row>
    <row r="260" spans="2:21" ht="12.5" x14ac:dyDescent="0.25">
      <c r="B260" s="40" t="s">
        <v>402</v>
      </c>
      <c r="C260" s="41" t="s">
        <v>179</v>
      </c>
      <c r="D260" s="219" t="s">
        <v>120</v>
      </c>
      <c r="E260" s="220" t="s">
        <v>339</v>
      </c>
      <c r="F260" s="176" t="s">
        <v>24</v>
      </c>
      <c r="G260" s="19" t="s">
        <v>181</v>
      </c>
      <c r="H260" s="20">
        <v>41563</v>
      </c>
      <c r="I260" s="193">
        <v>17.5</v>
      </c>
      <c r="J260" s="194">
        <v>41565</v>
      </c>
      <c r="K260" s="195">
        <v>322</v>
      </c>
      <c r="L260" s="195">
        <v>517</v>
      </c>
      <c r="M260" s="196">
        <v>523250000</v>
      </c>
      <c r="N260" s="196">
        <v>0</v>
      </c>
      <c r="O260" s="196">
        <v>523250000</v>
      </c>
      <c r="P260" s="195">
        <v>242245370.37037036</v>
      </c>
      <c r="Q260" s="197">
        <v>5.6367892976588632E-2</v>
      </c>
      <c r="R260" s="163">
        <v>0.39699441471571906</v>
      </c>
      <c r="S260" s="163">
        <v>0.54663197324414714</v>
      </c>
      <c r="T260" s="164">
        <v>5.7190635451505019E-6</v>
      </c>
      <c r="U260" s="1"/>
    </row>
    <row r="261" spans="2:21" ht="12.5" x14ac:dyDescent="0.25">
      <c r="B261" s="40" t="s">
        <v>403</v>
      </c>
      <c r="C261" s="41" t="s">
        <v>179</v>
      </c>
      <c r="D261" s="219" t="s">
        <v>98</v>
      </c>
      <c r="E261" s="220" t="s">
        <v>204</v>
      </c>
      <c r="F261" s="176" t="s">
        <v>23</v>
      </c>
      <c r="G261" s="19" t="s">
        <v>181</v>
      </c>
      <c r="H261" s="20">
        <v>41571</v>
      </c>
      <c r="I261" s="193">
        <v>18.5</v>
      </c>
      <c r="J261" s="194">
        <v>41575</v>
      </c>
      <c r="K261" s="195">
        <v>1218</v>
      </c>
      <c r="L261" s="195">
        <v>1487</v>
      </c>
      <c r="M261" s="196">
        <v>426020571.5</v>
      </c>
      <c r="N261" s="196">
        <v>78036348.5</v>
      </c>
      <c r="O261" s="196">
        <v>504056920</v>
      </c>
      <c r="P261" s="195">
        <v>231218770.64220181</v>
      </c>
      <c r="Q261" s="197">
        <v>8.5953662733169109E-2</v>
      </c>
      <c r="R261" s="163">
        <v>0.40012687951987647</v>
      </c>
      <c r="S261" s="163">
        <v>0.50890766165852852</v>
      </c>
      <c r="T261" s="164">
        <v>5.0117960884258862E-3</v>
      </c>
      <c r="U261" s="1"/>
    </row>
    <row r="262" spans="2:21" ht="12.5" x14ac:dyDescent="0.25">
      <c r="B262" s="40" t="s">
        <v>404</v>
      </c>
      <c r="C262" s="41" t="s">
        <v>179</v>
      </c>
      <c r="D262" s="219" t="s">
        <v>98</v>
      </c>
      <c r="E262" s="220" t="s">
        <v>348</v>
      </c>
      <c r="F262" s="176" t="s">
        <v>23</v>
      </c>
      <c r="G262" s="19" t="s">
        <v>181</v>
      </c>
      <c r="H262" s="20">
        <v>41572</v>
      </c>
      <c r="I262" s="193">
        <v>17.5</v>
      </c>
      <c r="J262" s="194">
        <v>41576</v>
      </c>
      <c r="K262" s="195">
        <v>1059</v>
      </c>
      <c r="L262" s="195">
        <v>1311</v>
      </c>
      <c r="M262" s="196">
        <v>309714090</v>
      </c>
      <c r="N262" s="196">
        <v>309714090</v>
      </c>
      <c r="O262" s="196">
        <v>619428180</v>
      </c>
      <c r="P262" s="195">
        <v>284141366.97247702</v>
      </c>
      <c r="Q262" s="197">
        <v>2.6359637851800673E-2</v>
      </c>
      <c r="R262" s="163">
        <v>0.39001973562132741</v>
      </c>
      <c r="S262" s="163">
        <v>0.58313740666432068</v>
      </c>
      <c r="T262" s="164">
        <v>4.8321986255129689E-4</v>
      </c>
      <c r="U262" s="1"/>
    </row>
    <row r="263" spans="2:21" ht="12.5" x14ac:dyDescent="0.25">
      <c r="B263" s="40" t="s">
        <v>405</v>
      </c>
      <c r="C263" s="41" t="s">
        <v>179</v>
      </c>
      <c r="D263" s="219" t="s">
        <v>132</v>
      </c>
      <c r="E263" s="220" t="s">
        <v>204</v>
      </c>
      <c r="F263" s="176" t="s">
        <v>23</v>
      </c>
      <c r="G263" s="19" t="s">
        <v>181</v>
      </c>
      <c r="H263" s="20">
        <v>41613</v>
      </c>
      <c r="I263" s="193">
        <v>16</v>
      </c>
      <c r="J263" s="194">
        <v>41617</v>
      </c>
      <c r="K263" s="195">
        <v>2316</v>
      </c>
      <c r="L263" s="195">
        <v>2540</v>
      </c>
      <c r="M263" s="196">
        <v>0</v>
      </c>
      <c r="N263" s="196">
        <v>541465600</v>
      </c>
      <c r="O263" s="196">
        <v>541465600</v>
      </c>
      <c r="P263" s="195">
        <v>233390344.82758623</v>
      </c>
      <c r="Q263" s="197">
        <v>8.8896541062801926E-2</v>
      </c>
      <c r="R263" s="163">
        <v>0.42276189371980677</v>
      </c>
      <c r="S263" s="163">
        <v>0.48427060869565219</v>
      </c>
      <c r="T263" s="164">
        <v>4.0709565217391308E-3</v>
      </c>
      <c r="U263" s="1"/>
    </row>
    <row r="264" spans="2:21" ht="13" thickBot="1" x14ac:dyDescent="0.3">
      <c r="B264" s="61" t="s">
        <v>406</v>
      </c>
      <c r="C264" s="62" t="s">
        <v>184</v>
      </c>
      <c r="D264" s="221" t="s">
        <v>125</v>
      </c>
      <c r="E264" s="221" t="s">
        <v>202</v>
      </c>
      <c r="F264" s="31" t="s">
        <v>24</v>
      </c>
      <c r="G264" s="62" t="s">
        <v>181</v>
      </c>
      <c r="H264" s="63">
        <v>41620</v>
      </c>
      <c r="I264" s="64">
        <v>23</v>
      </c>
      <c r="J264" s="198">
        <v>41624</v>
      </c>
      <c r="K264" s="199">
        <v>1431</v>
      </c>
      <c r="L264" s="199">
        <v>1826</v>
      </c>
      <c r="M264" s="200">
        <v>0</v>
      </c>
      <c r="N264" s="200">
        <v>2845030632</v>
      </c>
      <c r="O264" s="200">
        <v>2845030632</v>
      </c>
      <c r="P264" s="200">
        <v>1226306306.8965518</v>
      </c>
      <c r="Q264" s="165">
        <v>1.0195034342955362E-2</v>
      </c>
      <c r="R264" s="165">
        <v>0.24096957772228303</v>
      </c>
      <c r="S264" s="165">
        <v>0.74589074055354498</v>
      </c>
      <c r="T264" s="166">
        <v>2.9446473812166675E-3</v>
      </c>
      <c r="U264" s="1"/>
    </row>
    <row r="265" spans="2:21" ht="13" thickTop="1" x14ac:dyDescent="0.25">
      <c r="B265" s="40" t="s">
        <v>407</v>
      </c>
      <c r="C265" s="41" t="s">
        <v>189</v>
      </c>
      <c r="D265" s="219" t="s">
        <v>97</v>
      </c>
      <c r="E265" s="220" t="s">
        <v>348</v>
      </c>
      <c r="F265" s="176" t="s">
        <v>24</v>
      </c>
      <c r="G265" s="222" t="s">
        <v>181</v>
      </c>
      <c r="H265" s="20">
        <v>41757</v>
      </c>
      <c r="I265" s="21">
        <v>2.0566666666578493</v>
      </c>
      <c r="J265" s="223">
        <v>41759</v>
      </c>
      <c r="K265" s="224">
        <v>3429</v>
      </c>
      <c r="L265" s="224">
        <v>4369</v>
      </c>
      <c r="M265" s="225">
        <v>13959899998.896816</v>
      </c>
      <c r="N265" s="225">
        <v>0</v>
      </c>
      <c r="O265" s="225">
        <v>13959899998.896816</v>
      </c>
      <c r="P265" s="226">
        <v>6243246868.9162855</v>
      </c>
      <c r="Q265" s="163">
        <v>5.4232472710400203E-3</v>
      </c>
      <c r="R265" s="163">
        <v>0.11538216414518598</v>
      </c>
      <c r="S265" s="163">
        <v>0.41461573676835661</v>
      </c>
      <c r="T265" s="164">
        <v>0.4645788518154173</v>
      </c>
      <c r="U265" s="1"/>
    </row>
    <row r="266" spans="2:21" ht="13" thickBot="1" x14ac:dyDescent="0.3">
      <c r="B266" s="61" t="s">
        <v>408</v>
      </c>
      <c r="C266" s="62" t="s">
        <v>179</v>
      </c>
      <c r="D266" s="221" t="s">
        <v>133</v>
      </c>
      <c r="E266" s="221" t="s">
        <v>266</v>
      </c>
      <c r="F266" s="31" t="s">
        <v>23</v>
      </c>
      <c r="G266" s="227" t="s">
        <v>181</v>
      </c>
      <c r="H266" s="63">
        <v>41929</v>
      </c>
      <c r="I266" s="64">
        <v>27</v>
      </c>
      <c r="J266" s="198">
        <v>41933</v>
      </c>
      <c r="K266" s="199">
        <v>2570</v>
      </c>
      <c r="L266" s="199">
        <v>2922</v>
      </c>
      <c r="M266" s="200">
        <v>106442289</v>
      </c>
      <c r="N266" s="200">
        <v>311538474</v>
      </c>
      <c r="O266" s="200">
        <v>417980763</v>
      </c>
      <c r="P266" s="200">
        <v>168561020.68798646</v>
      </c>
      <c r="Q266" s="165">
        <v>9.5657651115393552E-2</v>
      </c>
      <c r="R266" s="165">
        <v>0.2196801076225606</v>
      </c>
      <c r="S266" s="165">
        <v>0.20086037069605522</v>
      </c>
      <c r="T266" s="166">
        <v>0.48380187056599061</v>
      </c>
      <c r="U266" s="1"/>
    </row>
    <row r="267" spans="2:21" ht="13" thickTop="1" x14ac:dyDescent="0.25">
      <c r="B267" s="228" t="s">
        <v>409</v>
      </c>
      <c r="C267" s="219" t="s">
        <v>210</v>
      </c>
      <c r="D267" s="229" t="s">
        <v>97</v>
      </c>
      <c r="E267" s="230" t="s">
        <v>204</v>
      </c>
      <c r="F267" s="231" t="s">
        <v>24</v>
      </c>
      <c r="G267" s="231" t="s">
        <v>181</v>
      </c>
      <c r="H267" s="90">
        <v>42121</v>
      </c>
      <c r="I267" s="232">
        <v>44.154045980711359</v>
      </c>
      <c r="J267" s="233">
        <v>42123</v>
      </c>
      <c r="K267" s="234">
        <v>956</v>
      </c>
      <c r="L267" s="214">
        <v>1850</v>
      </c>
      <c r="M267" s="192">
        <v>16107285058.799999</v>
      </c>
      <c r="N267" s="192">
        <v>0</v>
      </c>
      <c r="O267" s="192">
        <v>16107285058.799999</v>
      </c>
      <c r="P267" s="235">
        <v>5483331083.8468084</v>
      </c>
      <c r="Q267" s="236">
        <v>3.3610785170340197E-3</v>
      </c>
      <c r="R267" s="237">
        <v>7.7287472987341191E-2</v>
      </c>
      <c r="S267" s="237">
        <v>0.69706897761544506</v>
      </c>
      <c r="T267" s="238">
        <v>0.22228247086776307</v>
      </c>
      <c r="U267" s="1"/>
    </row>
    <row r="268" spans="2:21" ht="12.5" x14ac:dyDescent="0.25">
      <c r="B268" s="40" t="s">
        <v>410</v>
      </c>
      <c r="C268" s="41" t="s">
        <v>179</v>
      </c>
      <c r="D268" s="219" t="s">
        <v>69</v>
      </c>
      <c r="E268" s="220" t="s">
        <v>190</v>
      </c>
      <c r="F268" s="176" t="s">
        <v>23</v>
      </c>
      <c r="G268" s="2" t="s">
        <v>181</v>
      </c>
      <c r="H268" s="20">
        <v>42157</v>
      </c>
      <c r="I268" s="193">
        <v>12.33</v>
      </c>
      <c r="J268" s="194">
        <v>42160</v>
      </c>
      <c r="K268" s="195">
        <v>3693</v>
      </c>
      <c r="L268" s="195">
        <v>4527</v>
      </c>
      <c r="M268" s="196">
        <v>0</v>
      </c>
      <c r="N268" s="196">
        <v>602800013.70000005</v>
      </c>
      <c r="O268" s="196">
        <v>602800013.70000005</v>
      </c>
      <c r="P268" s="195">
        <v>190253760.16285825</v>
      </c>
      <c r="Q268" s="197">
        <v>9.8221415949513266E-2</v>
      </c>
      <c r="R268" s="163">
        <v>0.37409806195231671</v>
      </c>
      <c r="S268" s="163">
        <v>0.52148093360270609</v>
      </c>
      <c r="T268" s="164">
        <v>6.199588495463898E-3</v>
      </c>
      <c r="U268" s="1"/>
    </row>
    <row r="269" spans="2:21" ht="12.5" x14ac:dyDescent="0.25">
      <c r="B269" s="40" t="s">
        <v>411</v>
      </c>
      <c r="C269" s="41" t="s">
        <v>179</v>
      </c>
      <c r="D269" s="219" t="s">
        <v>86</v>
      </c>
      <c r="E269" s="219" t="s">
        <v>204</v>
      </c>
      <c r="F269" s="19" t="s">
        <v>24</v>
      </c>
      <c r="G269" s="19" t="s">
        <v>412</v>
      </c>
      <c r="H269" s="20">
        <v>42269</v>
      </c>
      <c r="I269" s="193">
        <v>44</v>
      </c>
      <c r="J269" s="194">
        <v>42270</v>
      </c>
      <c r="K269" s="195">
        <v>42</v>
      </c>
      <c r="L269" s="195">
        <v>449</v>
      </c>
      <c r="M269" s="196">
        <v>396000000</v>
      </c>
      <c r="N269" s="196">
        <v>0</v>
      </c>
      <c r="O269" s="196">
        <v>396000000</v>
      </c>
      <c r="P269" s="195">
        <v>96488876.976681858</v>
      </c>
      <c r="Q269" s="197">
        <v>6.2837777777777779E-3</v>
      </c>
      <c r="R269" s="163">
        <v>0.28428466666666669</v>
      </c>
      <c r="S269" s="163">
        <v>0.70496933333333334</v>
      </c>
      <c r="T269" s="164">
        <v>4.4622222222222225E-3</v>
      </c>
      <c r="U269" s="1"/>
    </row>
    <row r="270" spans="2:21" ht="12.5" x14ac:dyDescent="0.25">
      <c r="B270" s="40" t="s">
        <v>315</v>
      </c>
      <c r="C270" s="41" t="s">
        <v>179</v>
      </c>
      <c r="D270" s="219" t="s">
        <v>87</v>
      </c>
      <c r="E270" s="219" t="s">
        <v>211</v>
      </c>
      <c r="F270" s="19" t="s">
        <v>24</v>
      </c>
      <c r="G270" s="19" t="s">
        <v>412</v>
      </c>
      <c r="H270" s="20">
        <v>42261</v>
      </c>
      <c r="I270" s="193">
        <v>3.99</v>
      </c>
      <c r="J270" s="194">
        <v>42278</v>
      </c>
      <c r="K270" s="195">
        <v>0</v>
      </c>
      <c r="L270" s="195">
        <v>1</v>
      </c>
      <c r="M270" s="196">
        <v>57932406</v>
      </c>
      <c r="N270" s="196">
        <v>0</v>
      </c>
      <c r="O270" s="196">
        <v>57932406</v>
      </c>
      <c r="P270" s="195">
        <v>14558075.589284817</v>
      </c>
      <c r="Q270" s="197">
        <v>0</v>
      </c>
      <c r="R270" s="163">
        <v>0</v>
      </c>
      <c r="S270" s="163">
        <v>0</v>
      </c>
      <c r="T270" s="164">
        <v>1</v>
      </c>
      <c r="U270" s="1"/>
    </row>
    <row r="271" spans="2:21" ht="13" thickBot="1" x14ac:dyDescent="0.3">
      <c r="B271" s="61" t="s">
        <v>200</v>
      </c>
      <c r="C271" s="100" t="s">
        <v>189</v>
      </c>
      <c r="D271" s="239" t="s">
        <v>70</v>
      </c>
      <c r="E271" s="240" t="s">
        <v>348</v>
      </c>
      <c r="F271" s="62" t="s">
        <v>24</v>
      </c>
      <c r="G271" s="62" t="s">
        <v>412</v>
      </c>
      <c r="H271" s="63">
        <v>42325</v>
      </c>
      <c r="I271" s="101">
        <v>1.8</v>
      </c>
      <c r="J271" s="241">
        <v>42327</v>
      </c>
      <c r="K271" s="199">
        <v>225</v>
      </c>
      <c r="L271" s="199">
        <v>558</v>
      </c>
      <c r="M271" s="200">
        <v>900000000</v>
      </c>
      <c r="N271" s="200">
        <v>0</v>
      </c>
      <c r="O271" s="200">
        <v>900000000</v>
      </c>
      <c r="P271" s="200">
        <v>240371775.01201856</v>
      </c>
      <c r="Q271" s="242">
        <v>3.6634559999999997E-2</v>
      </c>
      <c r="R271" s="243">
        <v>0.35301729200000004</v>
      </c>
      <c r="S271" s="243">
        <v>0.25018665000000001</v>
      </c>
      <c r="T271" s="244">
        <v>0.36016149799999997</v>
      </c>
      <c r="U271" s="1"/>
    </row>
    <row r="272" spans="2:21" ht="13" thickTop="1" x14ac:dyDescent="0.25">
      <c r="B272" s="184" t="s">
        <v>379</v>
      </c>
      <c r="C272" s="103" t="s">
        <v>179</v>
      </c>
      <c r="D272" s="245" t="s">
        <v>103</v>
      </c>
      <c r="E272" s="230" t="s">
        <v>348</v>
      </c>
      <c r="F272" s="74" t="s">
        <v>24</v>
      </c>
      <c r="G272" s="74" t="s">
        <v>412</v>
      </c>
      <c r="H272" s="75">
        <v>42388</v>
      </c>
      <c r="I272" s="104">
        <v>3.78</v>
      </c>
      <c r="J272" s="246">
        <v>42402</v>
      </c>
      <c r="K272" s="247">
        <v>0</v>
      </c>
      <c r="L272" s="247">
        <v>1</v>
      </c>
      <c r="M272" s="192">
        <v>400000000.68000001</v>
      </c>
      <c r="N272" s="207">
        <v>0</v>
      </c>
      <c r="O272" s="207">
        <v>400000000.68000001</v>
      </c>
      <c r="P272" s="207">
        <v>100250626.7368421</v>
      </c>
      <c r="Q272" s="237">
        <v>0</v>
      </c>
      <c r="R272" s="248">
        <v>0</v>
      </c>
      <c r="S272" s="237">
        <v>0</v>
      </c>
      <c r="T272" s="238">
        <v>1</v>
      </c>
      <c r="U272" s="1"/>
    </row>
    <row r="273" spans="2:21" ht="12.5" x14ac:dyDescent="0.25">
      <c r="B273" s="249" t="s">
        <v>413</v>
      </c>
      <c r="C273" s="250" t="s">
        <v>210</v>
      </c>
      <c r="D273" s="219" t="s">
        <v>72</v>
      </c>
      <c r="E273" s="219" t="s">
        <v>395</v>
      </c>
      <c r="F273" s="19" t="s">
        <v>24</v>
      </c>
      <c r="G273" s="19" t="s">
        <v>412</v>
      </c>
      <c r="H273" s="20">
        <v>42439</v>
      </c>
      <c r="I273" s="193">
        <v>0.33</v>
      </c>
      <c r="J273" s="194">
        <v>42440</v>
      </c>
      <c r="K273" s="195">
        <v>0</v>
      </c>
      <c r="L273" s="195">
        <v>5</v>
      </c>
      <c r="M273" s="196">
        <v>190474337.46000001</v>
      </c>
      <c r="N273" s="196">
        <v>0</v>
      </c>
      <c r="O273" s="196">
        <v>190474337.46000001</v>
      </c>
      <c r="P273" s="195">
        <v>52514222.784042351</v>
      </c>
      <c r="Q273" s="197">
        <v>0</v>
      </c>
      <c r="R273" s="163">
        <v>0</v>
      </c>
      <c r="S273" s="163">
        <v>0</v>
      </c>
      <c r="T273" s="164">
        <v>1</v>
      </c>
      <c r="U273" s="1"/>
    </row>
    <row r="274" spans="2:21" ht="12.5" x14ac:dyDescent="0.25">
      <c r="B274" s="40" t="s">
        <v>414</v>
      </c>
      <c r="C274" s="41" t="s">
        <v>179</v>
      </c>
      <c r="D274" s="219" t="s">
        <v>134</v>
      </c>
      <c r="E274" s="219" t="s">
        <v>211</v>
      </c>
      <c r="F274" s="19" t="s">
        <v>24</v>
      </c>
      <c r="G274" s="19" t="s">
        <v>412</v>
      </c>
      <c r="H274" s="20">
        <v>42467</v>
      </c>
      <c r="I274" s="193">
        <v>2.5</v>
      </c>
      <c r="J274" s="194">
        <v>42468</v>
      </c>
      <c r="K274" s="195">
        <v>30</v>
      </c>
      <c r="L274" s="195">
        <v>407</v>
      </c>
      <c r="M274" s="196">
        <v>2600000000</v>
      </c>
      <c r="N274" s="196">
        <v>0</v>
      </c>
      <c r="O274" s="196">
        <v>2600000000</v>
      </c>
      <c r="P274" s="195">
        <v>714580184.14181662</v>
      </c>
      <c r="Q274" s="197">
        <v>1.8656894230769231E-3</v>
      </c>
      <c r="R274" s="163">
        <v>0.11569919423076923</v>
      </c>
      <c r="S274" s="163">
        <v>0.47579280961538462</v>
      </c>
      <c r="T274" s="164">
        <v>0.40664230673076923</v>
      </c>
      <c r="U274" s="1"/>
    </row>
    <row r="275" spans="2:21" ht="12.5" x14ac:dyDescent="0.25">
      <c r="B275" s="40" t="s">
        <v>415</v>
      </c>
      <c r="C275" s="41" t="s">
        <v>189</v>
      </c>
      <c r="D275" s="219" t="s">
        <v>135</v>
      </c>
      <c r="E275" s="219" t="s">
        <v>211</v>
      </c>
      <c r="F275" s="19" t="s">
        <v>24</v>
      </c>
      <c r="G275" s="19" t="s">
        <v>412</v>
      </c>
      <c r="H275" s="20">
        <v>42468</v>
      </c>
      <c r="I275" s="193">
        <v>3.24</v>
      </c>
      <c r="J275" s="194">
        <v>42485</v>
      </c>
      <c r="K275" s="195">
        <v>15</v>
      </c>
      <c r="L275" s="195">
        <v>60</v>
      </c>
      <c r="M275" s="196">
        <v>300000001.31999999</v>
      </c>
      <c r="N275" s="196">
        <v>0</v>
      </c>
      <c r="O275" s="196">
        <v>300000001.31999999</v>
      </c>
      <c r="P275" s="195">
        <v>84573748.680649519</v>
      </c>
      <c r="Q275" s="197">
        <v>1.586929313017511E-2</v>
      </c>
      <c r="R275" s="163">
        <v>0.41657050256708983</v>
      </c>
      <c r="S275" s="163">
        <v>3.4478125048296254E-2</v>
      </c>
      <c r="T275" s="164">
        <v>0.53308207925443896</v>
      </c>
      <c r="U275" s="1"/>
    </row>
    <row r="276" spans="2:21" ht="12.5" x14ac:dyDescent="0.25">
      <c r="B276" s="40" t="s">
        <v>416</v>
      </c>
      <c r="C276" s="41" t="s">
        <v>184</v>
      </c>
      <c r="D276" s="219" t="s">
        <v>131</v>
      </c>
      <c r="E276" s="219" t="s">
        <v>339</v>
      </c>
      <c r="F276" s="19" t="s">
        <v>24</v>
      </c>
      <c r="G276" s="19" t="s">
        <v>181</v>
      </c>
      <c r="H276" s="20">
        <v>42578</v>
      </c>
      <c r="I276" s="193">
        <v>18.5</v>
      </c>
      <c r="J276" s="194">
        <v>42579</v>
      </c>
      <c r="K276" s="195">
        <v>1824</v>
      </c>
      <c r="L276" s="195">
        <v>2560</v>
      </c>
      <c r="M276" s="196">
        <v>1535962500</v>
      </c>
      <c r="N276" s="196">
        <v>0</v>
      </c>
      <c r="O276" s="196">
        <v>1535962500</v>
      </c>
      <c r="P276" s="195">
        <v>469139431.88759929</v>
      </c>
      <c r="Q276" s="197">
        <v>9.5627353206865398E-2</v>
      </c>
      <c r="R276" s="163">
        <v>0.35195844625112915</v>
      </c>
      <c r="S276" s="163">
        <v>0.54001554953327313</v>
      </c>
      <c r="T276" s="164">
        <v>1.239865100873231E-2</v>
      </c>
      <c r="U276" s="1"/>
    </row>
    <row r="277" spans="2:21" ht="12.5" x14ac:dyDescent="0.25">
      <c r="B277" s="40" t="s">
        <v>405</v>
      </c>
      <c r="C277" s="41" t="s">
        <v>179</v>
      </c>
      <c r="D277" s="219" t="s">
        <v>132</v>
      </c>
      <c r="E277" s="219" t="s">
        <v>381</v>
      </c>
      <c r="F277" s="19" t="s">
        <v>24</v>
      </c>
      <c r="G277" s="19" t="s">
        <v>412</v>
      </c>
      <c r="H277" s="20">
        <v>42592</v>
      </c>
      <c r="I277" s="193">
        <v>20.5</v>
      </c>
      <c r="J277" s="194">
        <v>42598</v>
      </c>
      <c r="K277" s="195">
        <v>2</v>
      </c>
      <c r="L277" s="195">
        <v>714</v>
      </c>
      <c r="M277" s="196">
        <v>0</v>
      </c>
      <c r="N277" s="196">
        <v>1230000000</v>
      </c>
      <c r="O277" s="196">
        <v>1230000000</v>
      </c>
      <c r="P277" s="195">
        <v>387413776.81186807</v>
      </c>
      <c r="Q277" s="197">
        <v>3.7484999999999998E-4</v>
      </c>
      <c r="R277" s="163">
        <v>0.33542768333333334</v>
      </c>
      <c r="S277" s="163">
        <v>0.65378511666666672</v>
      </c>
      <c r="T277" s="164">
        <v>1.0412350000000001E-2</v>
      </c>
      <c r="U277" s="1"/>
    </row>
    <row r="278" spans="2:21" ht="12.5" x14ac:dyDescent="0.25">
      <c r="B278" s="40" t="s">
        <v>393</v>
      </c>
      <c r="C278" s="41" t="s">
        <v>179</v>
      </c>
      <c r="D278" s="219" t="s">
        <v>83</v>
      </c>
      <c r="E278" s="219" t="s">
        <v>348</v>
      </c>
      <c r="F278" s="19" t="s">
        <v>24</v>
      </c>
      <c r="G278" s="19" t="s">
        <v>412</v>
      </c>
      <c r="H278" s="20">
        <v>42639</v>
      </c>
      <c r="I278" s="193">
        <v>18.5</v>
      </c>
      <c r="J278" s="194">
        <v>42641</v>
      </c>
      <c r="K278" s="195">
        <v>1</v>
      </c>
      <c r="L278" s="195">
        <v>342</v>
      </c>
      <c r="M278" s="196">
        <v>444000000</v>
      </c>
      <c r="N278" s="196">
        <v>0</v>
      </c>
      <c r="O278" s="196">
        <v>444000000</v>
      </c>
      <c r="P278" s="195">
        <v>136716344.37738639</v>
      </c>
      <c r="Q278" s="197">
        <v>1.2152916666666666E-3</v>
      </c>
      <c r="R278" s="163">
        <v>0.28609258333333332</v>
      </c>
      <c r="S278" s="163">
        <v>0.70998950000000005</v>
      </c>
      <c r="T278" s="164">
        <v>2.7026250000000002E-3</v>
      </c>
      <c r="U278" s="1"/>
    </row>
    <row r="279" spans="2:21" ht="12.5" x14ac:dyDescent="0.25">
      <c r="B279" s="40" t="s">
        <v>392</v>
      </c>
      <c r="C279" s="41" t="s">
        <v>184</v>
      </c>
      <c r="D279" s="19" t="s">
        <v>65</v>
      </c>
      <c r="E279" s="19" t="s">
        <v>381</v>
      </c>
      <c r="F279" s="19" t="s">
        <v>24</v>
      </c>
      <c r="G279" s="19" t="s">
        <v>412</v>
      </c>
      <c r="H279" s="20">
        <v>42661</v>
      </c>
      <c r="I279" s="193">
        <v>19.649999999999999</v>
      </c>
      <c r="J279" s="194">
        <v>42667</v>
      </c>
      <c r="K279" s="195">
        <v>0</v>
      </c>
      <c r="L279" s="195">
        <v>684</v>
      </c>
      <c r="M279" s="196">
        <v>0</v>
      </c>
      <c r="N279" s="196">
        <v>1291048819.5</v>
      </c>
      <c r="O279" s="196">
        <v>1291048819.5</v>
      </c>
      <c r="P279" s="195">
        <v>412330752.6109035</v>
      </c>
      <c r="Q279" s="197">
        <v>0</v>
      </c>
      <c r="R279" s="163">
        <v>0.31579354308065344</v>
      </c>
      <c r="S279" s="163">
        <v>0.68420645691934645</v>
      </c>
      <c r="T279" s="164">
        <v>0</v>
      </c>
      <c r="U279" s="1"/>
    </row>
    <row r="280" spans="2:21" ht="12.5" x14ac:dyDescent="0.25">
      <c r="B280" s="40" t="s">
        <v>417</v>
      </c>
      <c r="C280" s="41" t="s">
        <v>179</v>
      </c>
      <c r="D280" s="219" t="s">
        <v>136</v>
      </c>
      <c r="E280" s="219" t="s">
        <v>204</v>
      </c>
      <c r="F280" s="19" t="s">
        <v>23</v>
      </c>
      <c r="G280" s="19" t="s">
        <v>181</v>
      </c>
      <c r="H280" s="20">
        <v>42669</v>
      </c>
      <c r="I280" s="193">
        <v>20</v>
      </c>
      <c r="J280" s="194">
        <v>42671</v>
      </c>
      <c r="K280" s="195">
        <v>1771</v>
      </c>
      <c r="L280" s="195">
        <v>2035</v>
      </c>
      <c r="M280" s="196">
        <v>279069780</v>
      </c>
      <c r="N280" s="196">
        <v>395127820</v>
      </c>
      <c r="O280" s="196">
        <v>674197600</v>
      </c>
      <c r="P280" s="195">
        <v>211911865.47226149</v>
      </c>
      <c r="Q280" s="197">
        <v>9.3510308032546618E-2</v>
      </c>
      <c r="R280" s="163">
        <v>0.36966820649579085</v>
      </c>
      <c r="S280" s="163">
        <v>0.53033030857484598</v>
      </c>
      <c r="T280" s="164">
        <v>6.4911768968165381E-3</v>
      </c>
      <c r="U280" s="1"/>
    </row>
    <row r="281" spans="2:21" ht="13" thickBot="1" x14ac:dyDescent="0.3">
      <c r="B281" s="61" t="s">
        <v>418</v>
      </c>
      <c r="C281" s="100" t="s">
        <v>184</v>
      </c>
      <c r="D281" s="239" t="s">
        <v>67</v>
      </c>
      <c r="E281" s="240" t="s">
        <v>190</v>
      </c>
      <c r="F281" s="62" t="s">
        <v>24</v>
      </c>
      <c r="G281" s="62" t="s">
        <v>181</v>
      </c>
      <c r="H281" s="63">
        <v>42723</v>
      </c>
      <c r="I281" s="101">
        <v>9.5</v>
      </c>
      <c r="J281" s="241">
        <v>42725</v>
      </c>
      <c r="K281" s="199">
        <v>1310</v>
      </c>
      <c r="L281" s="199">
        <v>1757</v>
      </c>
      <c r="M281" s="200">
        <v>257592186.5</v>
      </c>
      <c r="N281" s="200">
        <v>1717571452.5</v>
      </c>
      <c r="O281" s="200">
        <v>1975163639</v>
      </c>
      <c r="P281" s="200">
        <v>588091359.19728458</v>
      </c>
      <c r="Q281" s="242">
        <v>9.039949803369178E-2</v>
      </c>
      <c r="R281" s="243">
        <v>0.50713993550789538</v>
      </c>
      <c r="S281" s="243">
        <v>0.39437625046316477</v>
      </c>
      <c r="T281" s="244">
        <v>8.084315995248028E-3</v>
      </c>
      <c r="U281" s="1"/>
    </row>
    <row r="282" spans="2:21" ht="13" thickTop="1" x14ac:dyDescent="0.25">
      <c r="B282" s="106" t="s">
        <v>419</v>
      </c>
      <c r="C282" s="107" t="s">
        <v>179</v>
      </c>
      <c r="D282" s="251" t="s">
        <v>76</v>
      </c>
      <c r="E282" s="251" t="s">
        <v>190</v>
      </c>
      <c r="F282" s="107" t="s">
        <v>23</v>
      </c>
      <c r="G282" s="107" t="s">
        <v>181</v>
      </c>
      <c r="H282" s="108">
        <v>42772</v>
      </c>
      <c r="I282" s="252">
        <v>7.5</v>
      </c>
      <c r="J282" s="253">
        <v>42774</v>
      </c>
      <c r="K282" s="254">
        <v>1096</v>
      </c>
      <c r="L282" s="254">
        <v>1373</v>
      </c>
      <c r="M282" s="255">
        <v>535955055</v>
      </c>
      <c r="N282" s="255">
        <v>64128735</v>
      </c>
      <c r="O282" s="255">
        <v>600083790</v>
      </c>
      <c r="P282" s="254">
        <v>191996093.42505199</v>
      </c>
      <c r="Q282" s="256">
        <v>9.3400396584743584E-2</v>
      </c>
      <c r="R282" s="257">
        <v>0.3086604509575126</v>
      </c>
      <c r="S282" s="257">
        <v>0.450424733202273</v>
      </c>
      <c r="T282" s="258">
        <v>0.14751441925547082</v>
      </c>
      <c r="U282" s="1"/>
    </row>
    <row r="283" spans="2:21" ht="12.5" x14ac:dyDescent="0.25">
      <c r="B283" s="40" t="s">
        <v>420</v>
      </c>
      <c r="C283" s="41" t="s">
        <v>179</v>
      </c>
      <c r="D283" s="219" t="s">
        <v>136</v>
      </c>
      <c r="E283" s="219" t="s">
        <v>204</v>
      </c>
      <c r="F283" s="19" t="s">
        <v>23</v>
      </c>
      <c r="G283" s="19" t="s">
        <v>181</v>
      </c>
      <c r="H283" s="20">
        <v>42776</v>
      </c>
      <c r="I283" s="193">
        <v>19</v>
      </c>
      <c r="J283" s="194">
        <v>42780</v>
      </c>
      <c r="K283" s="195">
        <v>4616</v>
      </c>
      <c r="L283" s="195">
        <v>5042</v>
      </c>
      <c r="M283" s="196">
        <v>187272151</v>
      </c>
      <c r="N283" s="196">
        <v>690396673</v>
      </c>
      <c r="O283" s="196">
        <v>877668824</v>
      </c>
      <c r="P283" s="195">
        <v>283082448.71629465</v>
      </c>
      <c r="Q283" s="197">
        <v>0.10052935183214393</v>
      </c>
      <c r="R283" s="163">
        <v>0.48025412715354693</v>
      </c>
      <c r="S283" s="163">
        <v>0.41314996509435087</v>
      </c>
      <c r="T283" s="164">
        <v>6.0665559199582549E-3</v>
      </c>
      <c r="U283" s="1"/>
    </row>
    <row r="284" spans="2:21" ht="12.5" x14ac:dyDescent="0.25">
      <c r="B284" s="40" t="s">
        <v>421</v>
      </c>
      <c r="C284" s="41" t="s">
        <v>179</v>
      </c>
      <c r="D284" s="219" t="s">
        <v>59</v>
      </c>
      <c r="E284" s="219" t="s">
        <v>190</v>
      </c>
      <c r="F284" s="19" t="s">
        <v>24</v>
      </c>
      <c r="G284" s="19" t="s">
        <v>412</v>
      </c>
      <c r="H284" s="20">
        <v>42775</v>
      </c>
      <c r="I284" s="193">
        <v>16</v>
      </c>
      <c r="J284" s="194">
        <v>42776</v>
      </c>
      <c r="K284" s="195">
        <v>0</v>
      </c>
      <c r="L284" s="195">
        <v>396</v>
      </c>
      <c r="M284" s="196">
        <v>4070604800</v>
      </c>
      <c r="N284" s="196">
        <v>0</v>
      </c>
      <c r="O284" s="196">
        <v>4070604800</v>
      </c>
      <c r="P284" s="195">
        <v>1306775216.6934187</v>
      </c>
      <c r="Q284" s="197">
        <v>9.2369566311128996E-5</v>
      </c>
      <c r="R284" s="163">
        <v>0.12943539790450795</v>
      </c>
      <c r="S284" s="163">
        <v>0.68391256650608778</v>
      </c>
      <c r="T284" s="164">
        <v>0.18655966602309318</v>
      </c>
      <c r="U284" s="1"/>
    </row>
    <row r="285" spans="2:21" ht="12.5" x14ac:dyDescent="0.25">
      <c r="B285" s="40" t="s">
        <v>422</v>
      </c>
      <c r="C285" s="41" t="s">
        <v>210</v>
      </c>
      <c r="D285" s="219" t="s">
        <v>137</v>
      </c>
      <c r="E285" s="219" t="s">
        <v>202</v>
      </c>
      <c r="F285" s="19" t="s">
        <v>24</v>
      </c>
      <c r="G285" s="19" t="s">
        <v>412</v>
      </c>
      <c r="H285" s="20">
        <v>42802</v>
      </c>
      <c r="I285" s="193">
        <v>15.798929639613231</v>
      </c>
      <c r="J285" s="194">
        <v>42804</v>
      </c>
      <c r="K285" s="195">
        <v>0</v>
      </c>
      <c r="L285" s="195">
        <v>1203</v>
      </c>
      <c r="M285" s="196">
        <v>2405053617.02</v>
      </c>
      <c r="N285" s="196">
        <v>0</v>
      </c>
      <c r="O285" s="196">
        <v>2405053617.02</v>
      </c>
      <c r="P285" s="195">
        <v>760539359.64962208</v>
      </c>
      <c r="Q285" s="197">
        <v>1.0287140228619933E-3</v>
      </c>
      <c r="R285" s="163">
        <v>0.38560231035243137</v>
      </c>
      <c r="S285" s="163">
        <v>0.47038976752481998</v>
      </c>
      <c r="T285" s="164">
        <v>0.14297920809988662</v>
      </c>
      <c r="U285" s="1"/>
    </row>
    <row r="286" spans="2:21" ht="12.5" x14ac:dyDescent="0.25">
      <c r="B286" s="40" t="s">
        <v>398</v>
      </c>
      <c r="C286" s="41" t="s">
        <v>184</v>
      </c>
      <c r="D286" s="219" t="s">
        <v>131</v>
      </c>
      <c r="E286" s="219" t="s">
        <v>211</v>
      </c>
      <c r="F286" s="19" t="s">
        <v>24</v>
      </c>
      <c r="G286" s="19" t="s">
        <v>412</v>
      </c>
      <c r="H286" s="20">
        <v>42829</v>
      </c>
      <c r="I286" s="193">
        <v>6.5</v>
      </c>
      <c r="J286" s="194">
        <v>42831</v>
      </c>
      <c r="K286" s="195">
        <v>150</v>
      </c>
      <c r="L286" s="195">
        <v>811</v>
      </c>
      <c r="M286" s="196">
        <v>833462493.5</v>
      </c>
      <c r="N286" s="196">
        <v>0</v>
      </c>
      <c r="O286" s="196">
        <v>833462493.5</v>
      </c>
      <c r="P286" s="195">
        <v>267478335.52631578</v>
      </c>
      <c r="Q286" s="197">
        <v>2.6108637364855819E-3</v>
      </c>
      <c r="R286" s="163">
        <v>0.44916412126468414</v>
      </c>
      <c r="S286" s="163">
        <v>0.54812231271688294</v>
      </c>
      <c r="T286" s="164">
        <v>1.0270228194737596E-4</v>
      </c>
      <c r="U286" s="1"/>
    </row>
    <row r="287" spans="2:21" ht="12.5" x14ac:dyDescent="0.25">
      <c r="B287" s="40" t="s">
        <v>423</v>
      </c>
      <c r="C287" s="41" t="s">
        <v>184</v>
      </c>
      <c r="D287" s="219" t="s">
        <v>138</v>
      </c>
      <c r="E287" s="219" t="s">
        <v>204</v>
      </c>
      <c r="F287" s="19" t="s">
        <v>23</v>
      </c>
      <c r="G287" s="19" t="s">
        <v>181</v>
      </c>
      <c r="H287" s="20">
        <v>42835</v>
      </c>
      <c r="I287" s="193">
        <v>21</v>
      </c>
      <c r="J287" s="194">
        <v>42836</v>
      </c>
      <c r="K287" s="195">
        <v>1517</v>
      </c>
      <c r="L287" s="195">
        <v>1753</v>
      </c>
      <c r="M287" s="196">
        <v>1323000000</v>
      </c>
      <c r="N287" s="196">
        <v>698036577</v>
      </c>
      <c r="O287" s="196">
        <v>2021036577</v>
      </c>
      <c r="P287" s="195">
        <v>643150641.86608958</v>
      </c>
      <c r="Q287" s="197">
        <v>6.3673746662725544E-2</v>
      </c>
      <c r="R287" s="163">
        <v>7.6148414507393652E-2</v>
      </c>
      <c r="S287" s="163">
        <v>0.8582679540490078</v>
      </c>
      <c r="T287" s="164">
        <v>1.9098847808730183E-3</v>
      </c>
      <c r="U287" s="1"/>
    </row>
    <row r="288" spans="2:21" ht="12.5" x14ac:dyDescent="0.25">
      <c r="B288" s="40" t="s">
        <v>349</v>
      </c>
      <c r="C288" s="41" t="s">
        <v>210</v>
      </c>
      <c r="D288" s="219" t="s">
        <v>72</v>
      </c>
      <c r="E288" s="219" t="s">
        <v>381</v>
      </c>
      <c r="F288" s="19" t="s">
        <v>24</v>
      </c>
      <c r="G288" s="19" t="s">
        <v>412</v>
      </c>
      <c r="H288" s="20">
        <v>42831</v>
      </c>
      <c r="I288" s="193">
        <v>25</v>
      </c>
      <c r="J288" s="194">
        <v>42831</v>
      </c>
      <c r="K288" s="195">
        <v>0</v>
      </c>
      <c r="L288" s="195">
        <v>157</v>
      </c>
      <c r="M288" s="196">
        <v>0</v>
      </c>
      <c r="N288" s="196">
        <v>2000000000</v>
      </c>
      <c r="O288" s="196">
        <v>2000000000</v>
      </c>
      <c r="P288" s="195">
        <v>641848523.74839532</v>
      </c>
      <c r="Q288" s="197">
        <v>0</v>
      </c>
      <c r="R288" s="163">
        <v>0.19256071250000001</v>
      </c>
      <c r="S288" s="163">
        <v>0.80511428750000003</v>
      </c>
      <c r="T288" s="164">
        <v>2.3249999999999998E-3</v>
      </c>
      <c r="U288" s="1"/>
    </row>
    <row r="289" spans="2:21" ht="12.5" x14ac:dyDescent="0.25">
      <c r="B289" s="40" t="s">
        <v>278</v>
      </c>
      <c r="C289" s="41" t="s">
        <v>179</v>
      </c>
      <c r="D289" s="219" t="s">
        <v>87</v>
      </c>
      <c r="E289" s="219" t="s">
        <v>204</v>
      </c>
      <c r="F289" s="19" t="s">
        <v>24</v>
      </c>
      <c r="G289" s="19" t="s">
        <v>412</v>
      </c>
      <c r="H289" s="20">
        <v>42879</v>
      </c>
      <c r="I289" s="193">
        <v>11</v>
      </c>
      <c r="J289" s="194">
        <v>42879</v>
      </c>
      <c r="K289" s="195">
        <v>53</v>
      </c>
      <c r="L289" s="195">
        <v>536</v>
      </c>
      <c r="M289" s="196">
        <v>1730088492</v>
      </c>
      <c r="N289" s="196">
        <v>0</v>
      </c>
      <c r="O289" s="196">
        <v>1730088492</v>
      </c>
      <c r="P289" s="195">
        <v>530230314.13773024</v>
      </c>
      <c r="Q289" s="197">
        <v>1.9905166793052109E-4</v>
      </c>
      <c r="R289" s="163">
        <v>0.33419547940672623</v>
      </c>
      <c r="S289" s="163">
        <v>0.66158176665104362</v>
      </c>
      <c r="T289" s="164">
        <v>4.02370227429962E-3</v>
      </c>
      <c r="U289" s="1"/>
    </row>
    <row r="290" spans="2:21" ht="12.5" x14ac:dyDescent="0.25">
      <c r="B290" s="40" t="s">
        <v>357</v>
      </c>
      <c r="C290" s="41" t="s">
        <v>179</v>
      </c>
      <c r="D290" s="219" t="s">
        <v>87</v>
      </c>
      <c r="E290" s="219" t="s">
        <v>204</v>
      </c>
      <c r="F290" s="19" t="s">
        <v>24</v>
      </c>
      <c r="G290" s="19" t="s">
        <v>412</v>
      </c>
      <c r="H290" s="20">
        <v>42915</v>
      </c>
      <c r="I290" s="193">
        <v>8.75</v>
      </c>
      <c r="J290" s="194">
        <v>42919</v>
      </c>
      <c r="K290" s="195">
        <v>12</v>
      </c>
      <c r="L290" s="195">
        <v>179</v>
      </c>
      <c r="M290" s="196">
        <v>952934928.75</v>
      </c>
      <c r="N290" s="196">
        <v>0</v>
      </c>
      <c r="O290" s="196">
        <v>952934928.75</v>
      </c>
      <c r="P290" s="195">
        <v>288636961.60835987</v>
      </c>
      <c r="Q290" s="197">
        <v>3.2091645586036556E-5</v>
      </c>
      <c r="R290" s="163">
        <v>4.1219675724894031E-2</v>
      </c>
      <c r="S290" s="163">
        <v>0.95874823262951991</v>
      </c>
      <c r="T290" s="164">
        <v>0</v>
      </c>
      <c r="U290" s="1"/>
    </row>
    <row r="291" spans="2:21" ht="12.5" x14ac:dyDescent="0.25">
      <c r="B291" s="40" t="s">
        <v>424</v>
      </c>
      <c r="C291" s="41" t="s">
        <v>179</v>
      </c>
      <c r="D291" s="219" t="s">
        <v>115</v>
      </c>
      <c r="E291" s="219" t="s">
        <v>204</v>
      </c>
      <c r="F291" s="19" t="s">
        <v>23</v>
      </c>
      <c r="G291" s="19" t="s">
        <v>181</v>
      </c>
      <c r="H291" s="20">
        <v>42934</v>
      </c>
      <c r="I291" s="193">
        <v>15</v>
      </c>
      <c r="J291" s="194">
        <v>42936</v>
      </c>
      <c r="K291" s="195">
        <v>4068</v>
      </c>
      <c r="L291" s="195">
        <v>4839</v>
      </c>
      <c r="M291" s="196">
        <v>3088235295</v>
      </c>
      <c r="N291" s="196">
        <v>1884470475</v>
      </c>
      <c r="O291" s="196">
        <v>4972705770</v>
      </c>
      <c r="P291" s="195">
        <v>1583563394.0513341</v>
      </c>
      <c r="Q291" s="197">
        <v>4.7275200792959243E-2</v>
      </c>
      <c r="R291" s="163">
        <v>0.31807122323055381</v>
      </c>
      <c r="S291" s="163">
        <v>0.62964555787178444</v>
      </c>
      <c r="T291" s="164">
        <v>5.0080181047025508E-3</v>
      </c>
      <c r="U291" s="1"/>
    </row>
    <row r="292" spans="2:21" ht="12.5" x14ac:dyDescent="0.25">
      <c r="B292" s="40" t="s">
        <v>425</v>
      </c>
      <c r="C292" s="41" t="s">
        <v>240</v>
      </c>
      <c r="D292" s="219" t="s">
        <v>133</v>
      </c>
      <c r="E292" s="219" t="s">
        <v>266</v>
      </c>
      <c r="F292" s="19" t="s">
        <v>23</v>
      </c>
      <c r="G292" s="19" t="s">
        <v>181</v>
      </c>
      <c r="H292" s="20">
        <v>42934</v>
      </c>
      <c r="I292" s="193">
        <v>26.5</v>
      </c>
      <c r="J292" s="194">
        <v>42941</v>
      </c>
      <c r="K292" s="195">
        <v>4295</v>
      </c>
      <c r="L292" s="195">
        <v>4661</v>
      </c>
      <c r="M292" s="196">
        <v>424000000</v>
      </c>
      <c r="N292" s="196">
        <v>917562500</v>
      </c>
      <c r="O292" s="196">
        <v>1341562500</v>
      </c>
      <c r="P292" s="195">
        <v>425137057.92876154</v>
      </c>
      <c r="Q292" s="197">
        <v>9.5759269135802474E-2</v>
      </c>
      <c r="R292" s="163">
        <v>0.22420246913580247</v>
      </c>
      <c r="S292" s="163">
        <v>0.67580843456790118</v>
      </c>
      <c r="T292" s="164">
        <v>4.2298271604938268E-3</v>
      </c>
      <c r="U292" s="1"/>
    </row>
    <row r="293" spans="2:21" ht="12.5" x14ac:dyDescent="0.25">
      <c r="B293" s="40" t="s">
        <v>426</v>
      </c>
      <c r="C293" s="41" t="s">
        <v>179</v>
      </c>
      <c r="D293" s="219" t="s">
        <v>69</v>
      </c>
      <c r="E293" s="219" t="s">
        <v>190</v>
      </c>
      <c r="F293" s="19" t="s">
        <v>23</v>
      </c>
      <c r="G293" s="19" t="s">
        <v>181</v>
      </c>
      <c r="H293" s="20">
        <v>42943</v>
      </c>
      <c r="I293" s="193">
        <v>27.24</v>
      </c>
      <c r="J293" s="194">
        <v>42947</v>
      </c>
      <c r="K293" s="195">
        <v>7324</v>
      </c>
      <c r="L293" s="195">
        <v>7879</v>
      </c>
      <c r="M293" s="196">
        <v>0</v>
      </c>
      <c r="N293" s="196">
        <v>2003610960</v>
      </c>
      <c r="O293" s="196">
        <v>2003610960</v>
      </c>
      <c r="P293" s="195">
        <v>639988168.78014505</v>
      </c>
      <c r="Q293" s="197">
        <v>9.6732128776137266E-2</v>
      </c>
      <c r="R293" s="163">
        <v>0.26792439568208393</v>
      </c>
      <c r="S293" s="163">
        <v>0.63158524349457534</v>
      </c>
      <c r="T293" s="164">
        <v>3.758232047203415E-3</v>
      </c>
      <c r="U293" s="1"/>
    </row>
    <row r="294" spans="2:21" ht="12.5" x14ac:dyDescent="0.25">
      <c r="B294" s="40" t="s">
        <v>427</v>
      </c>
      <c r="C294" s="41" t="s">
        <v>179</v>
      </c>
      <c r="D294" s="219" t="s">
        <v>131</v>
      </c>
      <c r="E294" s="219" t="s">
        <v>348</v>
      </c>
      <c r="F294" s="19" t="s">
        <v>23</v>
      </c>
      <c r="G294" s="19" t="s">
        <v>181</v>
      </c>
      <c r="H294" s="20">
        <v>42943</v>
      </c>
      <c r="I294" s="193">
        <v>15.6</v>
      </c>
      <c r="J294" s="194">
        <v>42947</v>
      </c>
      <c r="K294" s="195">
        <v>776</v>
      </c>
      <c r="L294" s="195">
        <v>1017</v>
      </c>
      <c r="M294" s="196">
        <v>538538504.39999998</v>
      </c>
      <c r="N294" s="196">
        <v>250637961.59999999</v>
      </c>
      <c r="O294" s="196">
        <v>789176466</v>
      </c>
      <c r="P294" s="195">
        <v>252076681.2533938</v>
      </c>
      <c r="Q294" s="197">
        <v>4.0555793259045306E-2</v>
      </c>
      <c r="R294" s="163">
        <v>0.59343803949673268</v>
      </c>
      <c r="S294" s="163">
        <v>0.24830644911806074</v>
      </c>
      <c r="T294" s="164">
        <v>0.11769971812616115</v>
      </c>
      <c r="U294" s="1"/>
    </row>
    <row r="295" spans="2:21" ht="12.5" x14ac:dyDescent="0.25">
      <c r="B295" s="40" t="s">
        <v>428</v>
      </c>
      <c r="C295" s="41" t="s">
        <v>210</v>
      </c>
      <c r="D295" s="219" t="s">
        <v>139</v>
      </c>
      <c r="E295" s="219" t="s">
        <v>429</v>
      </c>
      <c r="F295" s="19" t="s">
        <v>24</v>
      </c>
      <c r="G295" s="19" t="s">
        <v>412</v>
      </c>
      <c r="H295" s="20">
        <v>42825</v>
      </c>
      <c r="I295" s="193">
        <v>53.78</v>
      </c>
      <c r="J295" s="194">
        <v>42951</v>
      </c>
      <c r="K295" s="195">
        <v>2</v>
      </c>
      <c r="L295" s="195">
        <v>11</v>
      </c>
      <c r="M295" s="196">
        <v>30555214.559999999</v>
      </c>
      <c r="N295" s="196">
        <v>0</v>
      </c>
      <c r="O295" s="196">
        <v>30555214.559999999</v>
      </c>
      <c r="P295" s="195">
        <v>9785810.4534973092</v>
      </c>
      <c r="Q295" s="197">
        <v>2.4641293175065825E-2</v>
      </c>
      <c r="R295" s="163">
        <v>0.75683971894845037</v>
      </c>
      <c r="S295" s="163">
        <v>0</v>
      </c>
      <c r="T295" s="164">
        <v>0.21851898787648374</v>
      </c>
      <c r="U295" s="1"/>
    </row>
    <row r="296" spans="2:21" ht="12.5" x14ac:dyDescent="0.25">
      <c r="B296" s="40" t="s">
        <v>377</v>
      </c>
      <c r="C296" s="41" t="s">
        <v>179</v>
      </c>
      <c r="D296" s="219" t="s">
        <v>125</v>
      </c>
      <c r="E296" s="219" t="s">
        <v>381</v>
      </c>
      <c r="F296" s="19" t="s">
        <v>24</v>
      </c>
      <c r="G296" s="19" t="s">
        <v>412</v>
      </c>
      <c r="H296" s="20">
        <v>43005</v>
      </c>
      <c r="I296" s="193">
        <v>65</v>
      </c>
      <c r="J296" s="194">
        <v>43007</v>
      </c>
      <c r="K296" s="195">
        <v>71</v>
      </c>
      <c r="L296" s="195">
        <v>155</v>
      </c>
      <c r="M296" s="196">
        <v>1144000000</v>
      </c>
      <c r="N296" s="196">
        <v>416000000</v>
      </c>
      <c r="O296" s="196">
        <v>1560000000</v>
      </c>
      <c r="P296" s="195">
        <v>492424242.42424238</v>
      </c>
      <c r="Q296" s="197">
        <v>7.093333333333333E-4</v>
      </c>
      <c r="R296" s="163">
        <v>0.33676325000000001</v>
      </c>
      <c r="S296" s="163">
        <v>0.6625274166666667</v>
      </c>
      <c r="T296" s="164">
        <v>0</v>
      </c>
      <c r="U296" s="1"/>
    </row>
    <row r="297" spans="2:21" ht="12.5" x14ac:dyDescent="0.25">
      <c r="B297" s="40" t="s">
        <v>430</v>
      </c>
      <c r="C297" s="41" t="s">
        <v>179</v>
      </c>
      <c r="D297" s="219" t="s">
        <v>140</v>
      </c>
      <c r="E297" s="219" t="s">
        <v>431</v>
      </c>
      <c r="F297" s="19" t="s">
        <v>24</v>
      </c>
      <c r="G297" s="19" t="s">
        <v>412</v>
      </c>
      <c r="H297" s="20">
        <v>42991</v>
      </c>
      <c r="I297" s="193">
        <v>1.56</v>
      </c>
      <c r="J297" s="194">
        <v>42993</v>
      </c>
      <c r="K297" s="195">
        <v>0</v>
      </c>
      <c r="L297" s="195">
        <v>39</v>
      </c>
      <c r="M297" s="196">
        <v>0</v>
      </c>
      <c r="N297" s="196">
        <v>352358788.07999998</v>
      </c>
      <c r="O297" s="196">
        <v>352358788.07999998</v>
      </c>
      <c r="P297" s="195">
        <v>112736774.30171171</v>
      </c>
      <c r="Q297" s="197">
        <v>0</v>
      </c>
      <c r="R297" s="163">
        <v>0</v>
      </c>
      <c r="S297" s="163">
        <v>0.18730907743108505</v>
      </c>
      <c r="T297" s="164">
        <v>0.81269092256891518</v>
      </c>
      <c r="U297" s="1"/>
    </row>
    <row r="298" spans="2:21" ht="12.5" x14ac:dyDescent="0.25">
      <c r="B298" s="40" t="s">
        <v>432</v>
      </c>
      <c r="C298" s="41" t="s">
        <v>184</v>
      </c>
      <c r="D298" s="219" t="s">
        <v>138</v>
      </c>
      <c r="E298" s="219" t="s">
        <v>204</v>
      </c>
      <c r="F298" s="19" t="s">
        <v>24</v>
      </c>
      <c r="G298" s="19" t="s">
        <v>412</v>
      </c>
      <c r="H298" s="20">
        <v>42992</v>
      </c>
      <c r="I298" s="193">
        <v>27.96</v>
      </c>
      <c r="J298" s="194">
        <v>42997</v>
      </c>
      <c r="K298" s="195">
        <v>0</v>
      </c>
      <c r="L298" s="195">
        <v>145</v>
      </c>
      <c r="M298" s="196">
        <v>0</v>
      </c>
      <c r="N298" s="196">
        <v>1249622011.8</v>
      </c>
      <c r="O298" s="196">
        <v>1249622011.8</v>
      </c>
      <c r="P298" s="195">
        <v>401240050.02568716</v>
      </c>
      <c r="Q298" s="197">
        <v>0</v>
      </c>
      <c r="R298" s="163">
        <v>7.5092426904692824E-2</v>
      </c>
      <c r="S298" s="163">
        <v>0.92490757309530713</v>
      </c>
      <c r="T298" s="164">
        <v>0</v>
      </c>
      <c r="U298" s="1"/>
    </row>
    <row r="299" spans="2:21" ht="12.5" x14ac:dyDescent="0.25">
      <c r="B299" s="40" t="s">
        <v>433</v>
      </c>
      <c r="C299" s="41" t="s">
        <v>179</v>
      </c>
      <c r="D299" s="219" t="s">
        <v>141</v>
      </c>
      <c r="E299" s="219" t="s">
        <v>381</v>
      </c>
      <c r="F299" s="19" t="s">
        <v>23</v>
      </c>
      <c r="G299" s="19" t="s">
        <v>181</v>
      </c>
      <c r="H299" s="20">
        <v>42998</v>
      </c>
      <c r="I299" s="193">
        <v>9</v>
      </c>
      <c r="J299" s="194">
        <v>43006</v>
      </c>
      <c r="K299" s="195">
        <v>2573</v>
      </c>
      <c r="L299" s="195">
        <v>2940</v>
      </c>
      <c r="M299" s="196">
        <v>369000000</v>
      </c>
      <c r="N299" s="196">
        <v>778500000</v>
      </c>
      <c r="O299" s="196">
        <v>1147500000</v>
      </c>
      <c r="P299" s="195">
        <v>360112976.62011611</v>
      </c>
      <c r="Q299" s="197">
        <v>9.0348453537936912E-2</v>
      </c>
      <c r="R299" s="163">
        <v>0.55473237169650469</v>
      </c>
      <c r="S299" s="163">
        <v>0.34709945780051149</v>
      </c>
      <c r="T299" s="164">
        <v>7.8197169650468887E-3</v>
      </c>
      <c r="U299" s="1"/>
    </row>
    <row r="300" spans="2:21" ht="12.5" x14ac:dyDescent="0.25">
      <c r="B300" s="40" t="s">
        <v>434</v>
      </c>
      <c r="C300" s="41" t="s">
        <v>179</v>
      </c>
      <c r="D300" s="219" t="s">
        <v>131</v>
      </c>
      <c r="E300" s="219" t="s">
        <v>348</v>
      </c>
      <c r="F300" s="19" t="s">
        <v>24</v>
      </c>
      <c r="G300" s="19" t="s">
        <v>181</v>
      </c>
      <c r="H300" s="20">
        <v>43013</v>
      </c>
      <c r="I300" s="193">
        <v>11</v>
      </c>
      <c r="J300" s="194">
        <v>43014</v>
      </c>
      <c r="K300" s="195">
        <v>261</v>
      </c>
      <c r="L300" s="195">
        <v>426</v>
      </c>
      <c r="M300" s="196">
        <v>834482759</v>
      </c>
      <c r="N300" s="196">
        <v>41724133</v>
      </c>
      <c r="O300" s="196">
        <v>876206892</v>
      </c>
      <c r="P300" s="195">
        <v>276860115.01516682</v>
      </c>
      <c r="Q300" s="197">
        <v>1.5021861982797551E-2</v>
      </c>
      <c r="R300" s="163">
        <v>0.53518100494466325</v>
      </c>
      <c r="S300" s="163">
        <v>0.31226320118924605</v>
      </c>
      <c r="T300" s="164">
        <v>0.13753393188329316</v>
      </c>
      <c r="U300" s="1"/>
    </row>
    <row r="301" spans="2:21" ht="12.5" x14ac:dyDescent="0.25">
      <c r="B301" s="40" t="s">
        <v>435</v>
      </c>
      <c r="C301" s="41" t="s">
        <v>179</v>
      </c>
      <c r="D301" s="219" t="s">
        <v>66</v>
      </c>
      <c r="E301" s="219" t="s">
        <v>202</v>
      </c>
      <c r="F301" s="19" t="s">
        <v>24</v>
      </c>
      <c r="G301" s="19" t="s">
        <v>181</v>
      </c>
      <c r="H301" s="20">
        <v>43032</v>
      </c>
      <c r="I301" s="193">
        <v>9.5</v>
      </c>
      <c r="J301" s="194">
        <v>43033</v>
      </c>
      <c r="K301" s="195">
        <v>1030</v>
      </c>
      <c r="L301" s="195">
        <v>1288</v>
      </c>
      <c r="M301" s="196">
        <v>574997000</v>
      </c>
      <c r="N301" s="196">
        <v>111460431.5</v>
      </c>
      <c r="O301" s="196">
        <v>686457431.5</v>
      </c>
      <c r="P301" s="195">
        <v>211954621.14428627</v>
      </c>
      <c r="Q301" s="197">
        <v>0.10086817991179797</v>
      </c>
      <c r="R301" s="163">
        <v>0.64801417078657397</v>
      </c>
      <c r="S301" s="163">
        <v>0.24951614707115896</v>
      </c>
      <c r="T301" s="164">
        <v>1.6015022304690975E-3</v>
      </c>
      <c r="U301" s="1"/>
    </row>
    <row r="302" spans="2:21" ht="12.5" x14ac:dyDescent="0.25">
      <c r="B302" s="40" t="s">
        <v>436</v>
      </c>
      <c r="C302" s="41" t="s">
        <v>179</v>
      </c>
      <c r="D302" s="219" t="s">
        <v>142</v>
      </c>
      <c r="E302" s="219" t="s">
        <v>190</v>
      </c>
      <c r="F302" s="19" t="s">
        <v>24</v>
      </c>
      <c r="G302" s="19" t="s">
        <v>412</v>
      </c>
      <c r="H302" s="20">
        <v>43012</v>
      </c>
      <c r="I302" s="193">
        <v>12</v>
      </c>
      <c r="J302" s="194">
        <v>43014</v>
      </c>
      <c r="K302" s="195">
        <v>0</v>
      </c>
      <c r="L302" s="195">
        <v>76</v>
      </c>
      <c r="M302" s="196">
        <v>2640000000</v>
      </c>
      <c r="N302" s="196">
        <v>0</v>
      </c>
      <c r="O302" s="196">
        <v>2640000000</v>
      </c>
      <c r="P302" s="195">
        <v>842185855.10575175</v>
      </c>
      <c r="Q302" s="197">
        <v>0</v>
      </c>
      <c r="R302" s="163">
        <v>0.17843048636363637</v>
      </c>
      <c r="S302" s="163">
        <v>0.23318181818181818</v>
      </c>
      <c r="T302" s="164">
        <v>0.5883876954545455</v>
      </c>
      <c r="U302" s="1"/>
    </row>
    <row r="303" spans="2:21" ht="12.5" x14ac:dyDescent="0.25">
      <c r="B303" s="40" t="s">
        <v>437</v>
      </c>
      <c r="C303" s="41" t="s">
        <v>179</v>
      </c>
      <c r="D303" s="219" t="s">
        <v>123</v>
      </c>
      <c r="E303" s="219" t="s">
        <v>348</v>
      </c>
      <c r="F303" s="19" t="s">
        <v>24</v>
      </c>
      <c r="G303" s="19" t="s">
        <v>412</v>
      </c>
      <c r="H303" s="20">
        <v>43048</v>
      </c>
      <c r="I303" s="193">
        <v>8</v>
      </c>
      <c r="J303" s="194">
        <v>43052</v>
      </c>
      <c r="K303" s="195">
        <v>0</v>
      </c>
      <c r="L303" s="195">
        <v>141</v>
      </c>
      <c r="M303" s="196">
        <v>0</v>
      </c>
      <c r="N303" s="196">
        <v>444592648</v>
      </c>
      <c r="O303" s="196">
        <v>444592648</v>
      </c>
      <c r="P303" s="195">
        <v>136600192.95173132</v>
      </c>
      <c r="Q303" s="197">
        <v>8.9790058786577148E-5</v>
      </c>
      <c r="R303" s="163">
        <v>0.59937971803798251</v>
      </c>
      <c r="S303" s="163">
        <v>0.40053049190323092</v>
      </c>
      <c r="T303" s="164">
        <v>0</v>
      </c>
      <c r="U303" s="1"/>
    </row>
    <row r="304" spans="2:21" ht="12.5" x14ac:dyDescent="0.25">
      <c r="B304" s="40" t="s">
        <v>438</v>
      </c>
      <c r="C304" s="41" t="s">
        <v>179</v>
      </c>
      <c r="D304" s="219" t="s">
        <v>123</v>
      </c>
      <c r="E304" s="219" t="s">
        <v>204</v>
      </c>
      <c r="F304" s="19" t="s">
        <v>23</v>
      </c>
      <c r="G304" s="19" t="s">
        <v>181</v>
      </c>
      <c r="H304" s="20">
        <v>43083</v>
      </c>
      <c r="I304" s="193">
        <v>18</v>
      </c>
      <c r="J304" s="194">
        <v>43087</v>
      </c>
      <c r="K304" s="195">
        <v>3281</v>
      </c>
      <c r="L304" s="195">
        <v>3672</v>
      </c>
      <c r="M304" s="196">
        <v>886153842</v>
      </c>
      <c r="N304" s="196">
        <v>1096968060</v>
      </c>
      <c r="O304" s="196">
        <v>1983121902</v>
      </c>
      <c r="P304" s="195">
        <v>603120921.50482047</v>
      </c>
      <c r="Q304" s="197">
        <v>9.6651416517531591E-2</v>
      </c>
      <c r="R304" s="163">
        <v>0.13584876249517025</v>
      </c>
      <c r="S304" s="163">
        <v>0.76333477716099751</v>
      </c>
      <c r="T304" s="164">
        <v>4.1650438263006184E-3</v>
      </c>
      <c r="U304" s="1"/>
    </row>
    <row r="305" spans="2:21" ht="12.5" x14ac:dyDescent="0.25">
      <c r="B305" s="40" t="s">
        <v>341</v>
      </c>
      <c r="C305" s="41" t="s">
        <v>179</v>
      </c>
      <c r="D305" s="219" t="s">
        <v>143</v>
      </c>
      <c r="E305" s="219" t="s">
        <v>348</v>
      </c>
      <c r="F305" s="19" t="s">
        <v>24</v>
      </c>
      <c r="G305" s="19" t="s">
        <v>412</v>
      </c>
      <c r="H305" s="20">
        <v>43069</v>
      </c>
      <c r="I305" s="193">
        <v>30</v>
      </c>
      <c r="J305" s="194">
        <v>43073</v>
      </c>
      <c r="K305" s="195">
        <v>1</v>
      </c>
      <c r="L305" s="195">
        <v>40</v>
      </c>
      <c r="M305" s="196">
        <v>148140000</v>
      </c>
      <c r="N305" s="196">
        <v>0</v>
      </c>
      <c r="O305" s="196">
        <v>148140000</v>
      </c>
      <c r="P305" s="195">
        <v>45573124.961545564</v>
      </c>
      <c r="Q305" s="197">
        <v>0.30544673957067636</v>
      </c>
      <c r="R305" s="163">
        <v>0</v>
      </c>
      <c r="S305" s="163">
        <v>6.0153908464965575E-3</v>
      </c>
      <c r="T305" s="164">
        <v>0.68853786958282703</v>
      </c>
      <c r="U305" s="1"/>
    </row>
    <row r="306" spans="2:21" ht="12.5" x14ac:dyDescent="0.25">
      <c r="B306" s="40" t="s">
        <v>439</v>
      </c>
      <c r="C306" s="41" t="s">
        <v>179</v>
      </c>
      <c r="D306" s="219" t="s">
        <v>144</v>
      </c>
      <c r="E306" s="219" t="s">
        <v>339</v>
      </c>
      <c r="F306" s="19" t="s">
        <v>23</v>
      </c>
      <c r="G306" s="19" t="s">
        <v>181</v>
      </c>
      <c r="H306" s="20">
        <v>43082</v>
      </c>
      <c r="I306" s="193">
        <v>15</v>
      </c>
      <c r="J306" s="194">
        <v>43084</v>
      </c>
      <c r="K306" s="195">
        <v>6808</v>
      </c>
      <c r="L306" s="195">
        <v>7658</v>
      </c>
      <c r="M306" s="196">
        <v>655312500</v>
      </c>
      <c r="N306" s="196">
        <v>4368750000</v>
      </c>
      <c r="O306" s="196">
        <v>5024062500</v>
      </c>
      <c r="P306" s="195">
        <v>1514092730.9987342</v>
      </c>
      <c r="Q306" s="197">
        <v>9.8186664676245566E-2</v>
      </c>
      <c r="R306" s="163">
        <v>0.24114632132860608</v>
      </c>
      <c r="S306" s="163">
        <v>0.65514977869005409</v>
      </c>
      <c r="T306" s="164">
        <v>5.5172353050942343E-3</v>
      </c>
      <c r="U306" s="1"/>
    </row>
    <row r="307" spans="2:21" ht="13" thickBot="1" x14ac:dyDescent="0.3">
      <c r="B307" s="61" t="s">
        <v>418</v>
      </c>
      <c r="C307" s="62" t="s">
        <v>184</v>
      </c>
      <c r="D307" s="221" t="s">
        <v>67</v>
      </c>
      <c r="E307" s="221" t="s">
        <v>204</v>
      </c>
      <c r="F307" s="31" t="s">
        <v>24</v>
      </c>
      <c r="G307" s="31" t="s">
        <v>412</v>
      </c>
      <c r="H307" s="32">
        <v>43081</v>
      </c>
      <c r="I307" s="259">
        <v>55.2</v>
      </c>
      <c r="J307" s="260">
        <v>43083</v>
      </c>
      <c r="K307" s="261">
        <v>0</v>
      </c>
      <c r="L307" s="261">
        <v>56</v>
      </c>
      <c r="M307" s="262">
        <v>0</v>
      </c>
      <c r="N307" s="262">
        <v>1040308970.4</v>
      </c>
      <c r="O307" s="262">
        <v>1040308970.4</v>
      </c>
      <c r="P307" s="261">
        <v>312105175.32701308</v>
      </c>
      <c r="Q307" s="263">
        <v>0</v>
      </c>
      <c r="R307" s="165">
        <v>0.4277353969454919</v>
      </c>
      <c r="S307" s="165">
        <v>0.57226460305450799</v>
      </c>
      <c r="T307" s="166">
        <v>0</v>
      </c>
      <c r="U307" s="1"/>
    </row>
    <row r="308" spans="2:21" ht="13" thickTop="1" x14ac:dyDescent="0.25">
      <c r="B308" s="106" t="s">
        <v>440</v>
      </c>
      <c r="C308" s="107" t="s">
        <v>179</v>
      </c>
      <c r="D308" s="251" t="s">
        <v>136</v>
      </c>
      <c r="E308" s="251" t="s">
        <v>204</v>
      </c>
      <c r="F308" s="107" t="s">
        <v>23</v>
      </c>
      <c r="G308" s="107" t="s">
        <v>181</v>
      </c>
      <c r="H308" s="108">
        <v>43209</v>
      </c>
      <c r="I308" s="252">
        <v>16.5</v>
      </c>
      <c r="J308" s="253">
        <v>43213</v>
      </c>
      <c r="K308" s="254">
        <v>1375</v>
      </c>
      <c r="L308" s="254">
        <v>1838</v>
      </c>
      <c r="M308" s="255">
        <v>341379307.5</v>
      </c>
      <c r="N308" s="255">
        <v>2377736641.5</v>
      </c>
      <c r="O308" s="255">
        <v>2719115949</v>
      </c>
      <c r="P308" s="254">
        <v>789958440.77743244</v>
      </c>
      <c r="Q308" s="256">
        <v>8.6834953502749654E-2</v>
      </c>
      <c r="R308" s="257">
        <v>0.21468036153981604</v>
      </c>
      <c r="S308" s="257">
        <v>0.69621169600958421</v>
      </c>
      <c r="T308" s="258">
        <v>2.2729889478501236E-3</v>
      </c>
      <c r="U308" s="1"/>
    </row>
    <row r="309" spans="2:21" ht="12.5" x14ac:dyDescent="0.25">
      <c r="B309" s="40" t="s">
        <v>441</v>
      </c>
      <c r="C309" s="41" t="s">
        <v>179</v>
      </c>
      <c r="D309" s="219" t="s">
        <v>136</v>
      </c>
      <c r="E309" s="219" t="s">
        <v>348</v>
      </c>
      <c r="F309" s="19" t="s">
        <v>23</v>
      </c>
      <c r="G309" s="19" t="s">
        <v>181</v>
      </c>
      <c r="H309" s="20">
        <v>43213</v>
      </c>
      <c r="I309" s="193">
        <v>23.5</v>
      </c>
      <c r="J309" s="194">
        <v>43215</v>
      </c>
      <c r="K309" s="195">
        <v>4374</v>
      </c>
      <c r="L309" s="195">
        <v>5099</v>
      </c>
      <c r="M309" s="196">
        <v>2631026465.5</v>
      </c>
      <c r="N309" s="196">
        <v>800747178</v>
      </c>
      <c r="O309" s="196">
        <v>3431773643.5</v>
      </c>
      <c r="P309" s="195">
        <v>979387455.33675802</v>
      </c>
      <c r="Q309" s="197">
        <v>9.7468953593005239E-2</v>
      </c>
      <c r="R309" s="163">
        <v>0.43505761964454576</v>
      </c>
      <c r="S309" s="163">
        <v>0.46448551145532452</v>
      </c>
      <c r="T309" s="164">
        <v>2.9879153071244806E-3</v>
      </c>
      <c r="U309" s="1"/>
    </row>
    <row r="310" spans="2:21" ht="12.5" x14ac:dyDescent="0.25">
      <c r="B310" s="40" t="s">
        <v>442</v>
      </c>
      <c r="C310" s="41" t="s">
        <v>189</v>
      </c>
      <c r="D310" s="219" t="s">
        <v>72</v>
      </c>
      <c r="E310" s="229" t="s">
        <v>190</v>
      </c>
      <c r="F310" s="52" t="s">
        <v>23</v>
      </c>
      <c r="G310" s="52" t="s">
        <v>181</v>
      </c>
      <c r="H310" s="53">
        <v>43216</v>
      </c>
      <c r="I310" s="204">
        <v>18.5</v>
      </c>
      <c r="J310" s="233">
        <v>43220</v>
      </c>
      <c r="K310" s="264">
        <v>8387</v>
      </c>
      <c r="L310" s="264">
        <v>8605</v>
      </c>
      <c r="M310" s="265">
        <v>541463439</v>
      </c>
      <c r="N310" s="265">
        <v>130991063</v>
      </c>
      <c r="O310" s="265">
        <v>672454502</v>
      </c>
      <c r="P310" s="264">
        <v>193172991.8703858</v>
      </c>
      <c r="Q310" s="266">
        <v>0.11714129972864151</v>
      </c>
      <c r="R310" s="216">
        <v>0.27988361740523721</v>
      </c>
      <c r="S310" s="216">
        <v>0.60297508286612123</v>
      </c>
      <c r="T310" s="218">
        <v>0</v>
      </c>
      <c r="U310" s="1"/>
    </row>
    <row r="311" spans="2:21" ht="12.5" x14ac:dyDescent="0.25">
      <c r="B311" s="40" t="s">
        <v>440</v>
      </c>
      <c r="C311" s="41" t="s">
        <v>179</v>
      </c>
      <c r="D311" s="219" t="s">
        <v>136</v>
      </c>
      <c r="E311" s="219" t="s">
        <v>204</v>
      </c>
      <c r="F311" s="19" t="s">
        <v>24</v>
      </c>
      <c r="G311" s="19" t="s">
        <v>412</v>
      </c>
      <c r="H311" s="20">
        <v>43439</v>
      </c>
      <c r="I311" s="193">
        <v>26</v>
      </c>
      <c r="J311" s="194">
        <v>43441</v>
      </c>
      <c r="K311" s="195">
        <v>15</v>
      </c>
      <c r="L311" s="195">
        <v>337</v>
      </c>
      <c r="M311" s="196">
        <v>312000000</v>
      </c>
      <c r="N311" s="196">
        <v>2741700000</v>
      </c>
      <c r="O311" s="196">
        <v>3053700000</v>
      </c>
      <c r="P311" s="195">
        <v>783723437.01878655</v>
      </c>
      <c r="Q311" s="197">
        <v>7.3839080459770119E-4</v>
      </c>
      <c r="R311" s="163">
        <v>0.27355475521498512</v>
      </c>
      <c r="S311" s="163">
        <v>0.72570685398041723</v>
      </c>
      <c r="T311" s="164">
        <v>0</v>
      </c>
      <c r="U311" s="1"/>
    </row>
    <row r="312" spans="2:21" ht="13" thickBot="1" x14ac:dyDescent="0.3">
      <c r="B312" s="61" t="s">
        <v>388</v>
      </c>
      <c r="C312" s="62" t="s">
        <v>179</v>
      </c>
      <c r="D312" s="62" t="s">
        <v>76</v>
      </c>
      <c r="E312" s="62" t="s">
        <v>204</v>
      </c>
      <c r="F312" s="31" t="s">
        <v>24</v>
      </c>
      <c r="G312" s="31" t="s">
        <v>412</v>
      </c>
      <c r="H312" s="32">
        <v>43447</v>
      </c>
      <c r="I312" s="259">
        <v>32</v>
      </c>
      <c r="J312" s="260">
        <v>43451</v>
      </c>
      <c r="K312" s="261">
        <v>40</v>
      </c>
      <c r="L312" s="261">
        <v>337</v>
      </c>
      <c r="M312" s="262">
        <v>992000000</v>
      </c>
      <c r="N312" s="262">
        <v>384000000</v>
      </c>
      <c r="O312" s="262">
        <v>1376000000</v>
      </c>
      <c r="P312" s="261">
        <v>356209065.72782111</v>
      </c>
      <c r="Q312" s="263">
        <v>1.4323720930232559E-3</v>
      </c>
      <c r="R312" s="165">
        <v>0.59577132558139534</v>
      </c>
      <c r="S312" s="165">
        <v>0.40048467441860464</v>
      </c>
      <c r="T312" s="166">
        <v>2.3116279069767443E-3</v>
      </c>
      <c r="U312" s="1"/>
    </row>
    <row r="313" spans="2:21" ht="13" thickTop="1" x14ac:dyDescent="0.25">
      <c r="B313" s="106" t="s">
        <v>212</v>
      </c>
      <c r="C313" s="107" t="s">
        <v>179</v>
      </c>
      <c r="D313" s="251" t="s">
        <v>76</v>
      </c>
      <c r="E313" s="251" t="s">
        <v>348</v>
      </c>
      <c r="F313" s="107" t="s">
        <v>24</v>
      </c>
      <c r="G313" s="107" t="s">
        <v>412</v>
      </c>
      <c r="H313" s="108">
        <v>43496</v>
      </c>
      <c r="I313" s="252">
        <v>33</v>
      </c>
      <c r="J313" s="253">
        <v>43500</v>
      </c>
      <c r="K313" s="254">
        <v>116</v>
      </c>
      <c r="L313" s="254">
        <v>906</v>
      </c>
      <c r="M313" s="255">
        <v>1821600000</v>
      </c>
      <c r="N313" s="255">
        <v>0</v>
      </c>
      <c r="O313" s="255">
        <v>1821600000</v>
      </c>
      <c r="P313" s="254">
        <v>495592556.3173359</v>
      </c>
      <c r="Q313" s="256">
        <v>1.4706340579710145E-3</v>
      </c>
      <c r="R313" s="257">
        <v>0.53825666666666672</v>
      </c>
      <c r="S313" s="257">
        <v>0.45991653985507247</v>
      </c>
      <c r="T313" s="258">
        <v>3.5615942028985505E-4</v>
      </c>
      <c r="U313" s="1"/>
    </row>
    <row r="314" spans="2:21" ht="12.5" x14ac:dyDescent="0.25">
      <c r="B314" s="40" t="s">
        <v>426</v>
      </c>
      <c r="C314" s="41" t="s">
        <v>179</v>
      </c>
      <c r="D314" s="219" t="s">
        <v>69</v>
      </c>
      <c r="E314" s="229" t="s">
        <v>443</v>
      </c>
      <c r="F314" s="52" t="s">
        <v>24</v>
      </c>
      <c r="G314" s="52" t="s">
        <v>412</v>
      </c>
      <c r="H314" s="53">
        <v>43522</v>
      </c>
      <c r="I314" s="204">
        <v>91</v>
      </c>
      <c r="J314" s="233">
        <v>43524</v>
      </c>
      <c r="K314" s="264">
        <v>0</v>
      </c>
      <c r="L314" s="264">
        <v>64</v>
      </c>
      <c r="M314" s="265">
        <v>0</v>
      </c>
      <c r="N314" s="265">
        <v>2516733128</v>
      </c>
      <c r="O314" s="265">
        <v>2516733128</v>
      </c>
      <c r="P314" s="264">
        <v>677360551.20441389</v>
      </c>
      <c r="Q314" s="266">
        <v>2.0610051746416236E-4</v>
      </c>
      <c r="R314" s="216">
        <v>0.3046964016440602</v>
      </c>
      <c r="S314" s="216">
        <v>0.69509749783847563</v>
      </c>
      <c r="T314" s="218">
        <v>0</v>
      </c>
      <c r="U314" s="1"/>
    </row>
    <row r="315" spans="2:21" ht="12.5" x14ac:dyDescent="0.25">
      <c r="B315" s="40" t="s">
        <v>438</v>
      </c>
      <c r="C315" s="41" t="s">
        <v>179</v>
      </c>
      <c r="D315" s="219" t="s">
        <v>123</v>
      </c>
      <c r="E315" s="229" t="s">
        <v>204</v>
      </c>
      <c r="F315" s="52" t="s">
        <v>24</v>
      </c>
      <c r="G315" s="52" t="s">
        <v>412</v>
      </c>
      <c r="H315" s="53">
        <v>43546</v>
      </c>
      <c r="I315" s="204">
        <v>21.41</v>
      </c>
      <c r="J315" s="233">
        <v>43549</v>
      </c>
      <c r="K315" s="264">
        <v>0</v>
      </c>
      <c r="L315" s="264">
        <v>118</v>
      </c>
      <c r="M315" s="265">
        <v>0</v>
      </c>
      <c r="N315" s="265">
        <v>714529225.61000001</v>
      </c>
      <c r="O315" s="265">
        <v>714529225.61000001</v>
      </c>
      <c r="P315" s="264">
        <v>184299516.53598145</v>
      </c>
      <c r="Q315" s="266">
        <v>0</v>
      </c>
      <c r="R315" s="216">
        <v>0.15702803121063788</v>
      </c>
      <c r="S315" s="216">
        <v>0.82899386314718448</v>
      </c>
      <c r="T315" s="218">
        <v>1.3978105642177694E-2</v>
      </c>
      <c r="U315" s="1"/>
    </row>
    <row r="316" spans="2:21" ht="12.5" x14ac:dyDescent="0.25">
      <c r="B316" s="40" t="s">
        <v>434</v>
      </c>
      <c r="C316" s="41" t="s">
        <v>179</v>
      </c>
      <c r="D316" s="219" t="s">
        <v>131</v>
      </c>
      <c r="E316" s="229" t="s">
        <v>204</v>
      </c>
      <c r="F316" s="52" t="s">
        <v>24</v>
      </c>
      <c r="G316" s="52" t="s">
        <v>412</v>
      </c>
      <c r="H316" s="53">
        <v>43559</v>
      </c>
      <c r="I316" s="204">
        <v>18.25</v>
      </c>
      <c r="J316" s="233">
        <v>43563</v>
      </c>
      <c r="K316" s="264">
        <v>0</v>
      </c>
      <c r="L316" s="264">
        <v>258</v>
      </c>
      <c r="M316" s="265">
        <v>0</v>
      </c>
      <c r="N316" s="265">
        <v>1106794409.25</v>
      </c>
      <c r="O316" s="265">
        <v>1106794409.25</v>
      </c>
      <c r="P316" s="264">
        <v>286304105.03647369</v>
      </c>
      <c r="Q316" s="266">
        <v>0</v>
      </c>
      <c r="R316" s="216">
        <v>0.6699587075999679</v>
      </c>
      <c r="S316" s="216">
        <v>0.32134911712375908</v>
      </c>
      <c r="T316" s="218">
        <v>8.6921752762729732E-3</v>
      </c>
      <c r="U316" s="1"/>
    </row>
    <row r="317" spans="2:21" ht="12.5" x14ac:dyDescent="0.25">
      <c r="B317" s="40" t="s">
        <v>444</v>
      </c>
      <c r="C317" s="41" t="s">
        <v>179</v>
      </c>
      <c r="D317" s="219" t="s">
        <v>145</v>
      </c>
      <c r="E317" s="229" t="s">
        <v>190</v>
      </c>
      <c r="F317" s="52" t="s">
        <v>23</v>
      </c>
      <c r="G317" s="52" t="s">
        <v>181</v>
      </c>
      <c r="H317" s="53">
        <v>43570</v>
      </c>
      <c r="I317" s="204">
        <v>12.5</v>
      </c>
      <c r="J317" s="233">
        <v>43572</v>
      </c>
      <c r="K317" s="264">
        <v>3368</v>
      </c>
      <c r="L317" s="264">
        <v>3582</v>
      </c>
      <c r="M317" s="265">
        <v>705101362.5</v>
      </c>
      <c r="N317" s="265">
        <v>0</v>
      </c>
      <c r="O317" s="265">
        <v>705101362.5</v>
      </c>
      <c r="P317" s="264">
        <v>179758154.87571701</v>
      </c>
      <c r="Q317" s="266">
        <v>9.6976311194838974E-2</v>
      </c>
      <c r="R317" s="216">
        <v>0.50313528398821172</v>
      </c>
      <c r="S317" s="216">
        <v>0.39571931949924294</v>
      </c>
      <c r="T317" s="218">
        <v>4.169085317706339E-3</v>
      </c>
      <c r="U317" s="1"/>
    </row>
    <row r="318" spans="2:21" ht="12.5" x14ac:dyDescent="0.25">
      <c r="B318" s="40" t="s">
        <v>230</v>
      </c>
      <c r="C318" s="41" t="s">
        <v>179</v>
      </c>
      <c r="D318" s="219" t="s">
        <v>146</v>
      </c>
      <c r="E318" s="229" t="s">
        <v>348</v>
      </c>
      <c r="F318" s="52" t="s">
        <v>24</v>
      </c>
      <c r="G318" s="52" t="s">
        <v>412</v>
      </c>
      <c r="H318" s="53">
        <v>43607</v>
      </c>
      <c r="I318" s="204">
        <v>39.5</v>
      </c>
      <c r="J318" s="233">
        <v>43609</v>
      </c>
      <c r="K318" s="264">
        <v>0</v>
      </c>
      <c r="L318" s="264">
        <v>172</v>
      </c>
      <c r="M318" s="265">
        <v>1066500000</v>
      </c>
      <c r="N318" s="265">
        <v>0</v>
      </c>
      <c r="O318" s="265">
        <v>1066500000</v>
      </c>
      <c r="P318" s="264">
        <v>264495808.73964587</v>
      </c>
      <c r="Q318" s="266">
        <v>0</v>
      </c>
      <c r="R318" s="216">
        <v>0.54841174074074073</v>
      </c>
      <c r="S318" s="216">
        <v>0.25543455555555555</v>
      </c>
      <c r="T318" s="218">
        <v>0.19615370370370369</v>
      </c>
      <c r="U318" s="1"/>
    </row>
    <row r="319" spans="2:21" ht="12.5" x14ac:dyDescent="0.25">
      <c r="B319" s="40" t="s">
        <v>445</v>
      </c>
      <c r="C319" s="41" t="s">
        <v>184</v>
      </c>
      <c r="D319" s="219" t="s">
        <v>72</v>
      </c>
      <c r="E319" s="229" t="s">
        <v>348</v>
      </c>
      <c r="F319" s="52" t="s">
        <v>24</v>
      </c>
      <c r="G319" s="52" t="s">
        <v>412</v>
      </c>
      <c r="H319" s="53">
        <v>43627</v>
      </c>
      <c r="I319" s="204">
        <v>46</v>
      </c>
      <c r="J319" s="233">
        <v>43629</v>
      </c>
      <c r="K319" s="264">
        <v>0</v>
      </c>
      <c r="L319" s="264">
        <v>138</v>
      </c>
      <c r="M319" s="265">
        <v>0</v>
      </c>
      <c r="N319" s="265">
        <v>2539200000</v>
      </c>
      <c r="O319" s="265">
        <v>2539200000</v>
      </c>
      <c r="P319" s="264">
        <v>660750995.34205937</v>
      </c>
      <c r="Q319" s="266">
        <v>0</v>
      </c>
      <c r="R319" s="216">
        <v>0.67451798913043481</v>
      </c>
      <c r="S319" s="216">
        <v>0.32373188405797104</v>
      </c>
      <c r="T319" s="218">
        <v>1.7501268115942029E-3</v>
      </c>
      <c r="U319" s="1"/>
    </row>
    <row r="320" spans="2:21" ht="12.5" x14ac:dyDescent="0.25">
      <c r="B320" s="40" t="s">
        <v>193</v>
      </c>
      <c r="C320" s="41" t="s">
        <v>179</v>
      </c>
      <c r="D320" s="219" t="s">
        <v>131</v>
      </c>
      <c r="E320" s="229" t="s">
        <v>204</v>
      </c>
      <c r="F320" s="52" t="s">
        <v>24</v>
      </c>
      <c r="G320" s="52" t="s">
        <v>412</v>
      </c>
      <c r="H320" s="53">
        <v>43628</v>
      </c>
      <c r="I320" s="204">
        <v>27.5</v>
      </c>
      <c r="J320" s="233">
        <v>43629</v>
      </c>
      <c r="K320" s="264">
        <v>27</v>
      </c>
      <c r="L320" s="264">
        <v>572</v>
      </c>
      <c r="M320" s="265">
        <v>3694341585</v>
      </c>
      <c r="N320" s="265">
        <v>0</v>
      </c>
      <c r="O320" s="265">
        <v>3694341585</v>
      </c>
      <c r="P320" s="264">
        <v>930096068.73111784</v>
      </c>
      <c r="Q320" s="266">
        <v>1.4261012087760153E-3</v>
      </c>
      <c r="R320" s="216">
        <v>0.5096314571030659</v>
      </c>
      <c r="S320" s="216">
        <v>0.4871484819669159</v>
      </c>
      <c r="T320" s="218">
        <v>1.7939597212421818E-3</v>
      </c>
      <c r="U320" s="1"/>
    </row>
    <row r="321" spans="2:21" ht="12.5" x14ac:dyDescent="0.25">
      <c r="B321" s="40" t="s">
        <v>440</v>
      </c>
      <c r="C321" s="41" t="s">
        <v>179</v>
      </c>
      <c r="D321" s="219" t="s">
        <v>136</v>
      </c>
      <c r="E321" s="229" t="s">
        <v>204</v>
      </c>
      <c r="F321" s="52" t="s">
        <v>24</v>
      </c>
      <c r="G321" s="52" t="s">
        <v>412</v>
      </c>
      <c r="H321" s="53">
        <v>43634</v>
      </c>
      <c r="I321" s="204">
        <v>39.5</v>
      </c>
      <c r="J321" s="233">
        <v>43637</v>
      </c>
      <c r="K321" s="264">
        <v>0</v>
      </c>
      <c r="L321" s="264">
        <v>267</v>
      </c>
      <c r="M321" s="265">
        <v>0</v>
      </c>
      <c r="N321" s="265">
        <v>2666250000</v>
      </c>
      <c r="O321" s="265">
        <v>2666250000</v>
      </c>
      <c r="P321" s="264">
        <v>696967716.63834798</v>
      </c>
      <c r="Q321" s="266">
        <v>0</v>
      </c>
      <c r="R321" s="216">
        <v>0.59822416296296299</v>
      </c>
      <c r="S321" s="216">
        <v>0.40177583703703706</v>
      </c>
      <c r="T321" s="218">
        <v>0</v>
      </c>
      <c r="U321" s="1"/>
    </row>
    <row r="322" spans="2:21" ht="12.5" x14ac:dyDescent="0.25">
      <c r="B322" s="40" t="s">
        <v>446</v>
      </c>
      <c r="C322" s="41" t="s">
        <v>179</v>
      </c>
      <c r="D322" s="219" t="s">
        <v>146</v>
      </c>
      <c r="E322" s="229" t="s">
        <v>447</v>
      </c>
      <c r="F322" s="52" t="s">
        <v>24</v>
      </c>
      <c r="G322" s="52" t="s">
        <v>181</v>
      </c>
      <c r="H322" s="53">
        <v>43641</v>
      </c>
      <c r="I322" s="204">
        <v>36</v>
      </c>
      <c r="J322" s="233">
        <v>43642</v>
      </c>
      <c r="K322" s="264">
        <v>664</v>
      </c>
      <c r="L322" s="264">
        <v>761</v>
      </c>
      <c r="M322" s="265">
        <v>831600000</v>
      </c>
      <c r="N322" s="265">
        <v>348285636</v>
      </c>
      <c r="O322" s="265">
        <v>1179885636</v>
      </c>
      <c r="P322" s="264">
        <v>306934168.20582193</v>
      </c>
      <c r="Q322" s="266">
        <v>6.691218931775024E-2</v>
      </c>
      <c r="R322" s="216">
        <v>7.148899176945521E-2</v>
      </c>
      <c r="S322" s="216">
        <v>0.85996942232790807</v>
      </c>
      <c r="T322" s="218">
        <v>1.6293965848864648E-3</v>
      </c>
      <c r="U322" s="1"/>
    </row>
    <row r="323" spans="2:21" ht="12.5" x14ac:dyDescent="0.25">
      <c r="B323" s="40" t="s">
        <v>448</v>
      </c>
      <c r="C323" s="41" t="s">
        <v>184</v>
      </c>
      <c r="D323" s="219" t="s">
        <v>144</v>
      </c>
      <c r="E323" s="229" t="s">
        <v>443</v>
      </c>
      <c r="F323" s="52" t="s">
        <v>24</v>
      </c>
      <c r="G323" s="52" t="s">
        <v>181</v>
      </c>
      <c r="H323" s="53">
        <v>43641</v>
      </c>
      <c r="I323" s="204">
        <v>30.25</v>
      </c>
      <c r="J323" s="233">
        <v>43643</v>
      </c>
      <c r="K323" s="264">
        <v>13251</v>
      </c>
      <c r="L323" s="264">
        <v>13694</v>
      </c>
      <c r="M323" s="265">
        <v>0</v>
      </c>
      <c r="N323" s="265">
        <v>7300546222.75</v>
      </c>
      <c r="O323" s="265">
        <v>7300546222.75</v>
      </c>
      <c r="P323" s="264">
        <v>1889277527.7547746</v>
      </c>
      <c r="Q323" s="266">
        <v>0.20642952852674615</v>
      </c>
      <c r="R323" s="216">
        <v>0.32478022502086895</v>
      </c>
      <c r="S323" s="216">
        <v>0.45530170747935084</v>
      </c>
      <c r="T323" s="218">
        <v>1.3488538973034064E-2</v>
      </c>
      <c r="U323" s="1"/>
    </row>
    <row r="324" spans="2:21" ht="12.5" x14ac:dyDescent="0.25">
      <c r="B324" s="40" t="s">
        <v>449</v>
      </c>
      <c r="C324" s="41" t="s">
        <v>179</v>
      </c>
      <c r="D324" s="219" t="s">
        <v>131</v>
      </c>
      <c r="E324" s="229" t="s">
        <v>243</v>
      </c>
      <c r="F324" s="52" t="s">
        <v>23</v>
      </c>
      <c r="G324" s="52" t="s">
        <v>181</v>
      </c>
      <c r="H324" s="53">
        <v>43623</v>
      </c>
      <c r="I324" s="204">
        <v>15.65</v>
      </c>
      <c r="J324" s="233">
        <v>43644</v>
      </c>
      <c r="K324" s="264">
        <v>21595</v>
      </c>
      <c r="L324" s="264">
        <v>22695</v>
      </c>
      <c r="M324" s="265">
        <v>0</v>
      </c>
      <c r="N324" s="265">
        <v>3744278776.0000005</v>
      </c>
      <c r="O324" s="265">
        <v>3744278776.0000005</v>
      </c>
      <c r="P324" s="264">
        <v>977057245.44648004</v>
      </c>
      <c r="Q324" s="266">
        <v>0.16386312887082957</v>
      </c>
      <c r="R324" s="216">
        <v>0.43233909035463336</v>
      </c>
      <c r="S324" s="216">
        <v>0.39339634218517922</v>
      </c>
      <c r="T324" s="218">
        <v>1.0401438589357857E-2</v>
      </c>
      <c r="U324" s="1"/>
    </row>
    <row r="325" spans="2:21" ht="12.5" x14ac:dyDescent="0.25">
      <c r="B325" s="40" t="s">
        <v>345</v>
      </c>
      <c r="C325" s="41" t="s">
        <v>179</v>
      </c>
      <c r="D325" s="219" t="s">
        <v>131</v>
      </c>
      <c r="E325" s="229" t="s">
        <v>204</v>
      </c>
      <c r="F325" s="52" t="s">
        <v>24</v>
      </c>
      <c r="G325" s="52" t="s">
        <v>412</v>
      </c>
      <c r="H325" s="53">
        <v>43627</v>
      </c>
      <c r="I325" s="204">
        <v>18.75</v>
      </c>
      <c r="J325" s="233">
        <v>43648</v>
      </c>
      <c r="K325" s="264">
        <v>144</v>
      </c>
      <c r="L325" s="264">
        <v>664</v>
      </c>
      <c r="M325" s="265">
        <v>1875000000</v>
      </c>
      <c r="N325" s="265">
        <v>624999993.75</v>
      </c>
      <c r="O325" s="265">
        <v>2499999993.75</v>
      </c>
      <c r="P325" s="264">
        <v>654570207.56421328</v>
      </c>
      <c r="Q325" s="266">
        <v>6.8671725171679313E-3</v>
      </c>
      <c r="R325" s="216">
        <v>0.52464667631161666</v>
      </c>
      <c r="S325" s="216">
        <v>0.46655523116638808</v>
      </c>
      <c r="T325" s="218">
        <v>1.9309200048273001E-3</v>
      </c>
      <c r="U325" s="1"/>
    </row>
    <row r="326" spans="2:21" ht="12.5" x14ac:dyDescent="0.25">
      <c r="B326" s="40" t="s">
        <v>268</v>
      </c>
      <c r="C326" s="41" t="s">
        <v>179</v>
      </c>
      <c r="D326" s="219" t="s">
        <v>87</v>
      </c>
      <c r="E326" s="229" t="s">
        <v>348</v>
      </c>
      <c r="F326" s="52" t="s">
        <v>24</v>
      </c>
      <c r="G326" s="52" t="s">
        <v>412</v>
      </c>
      <c r="H326" s="53">
        <v>43663</v>
      </c>
      <c r="I326" s="204">
        <v>1.1000000000000001</v>
      </c>
      <c r="J326" s="233">
        <v>43665</v>
      </c>
      <c r="K326" s="264">
        <v>2</v>
      </c>
      <c r="L326" s="264">
        <v>381</v>
      </c>
      <c r="M326" s="265">
        <v>445500000.00000006</v>
      </c>
      <c r="N326" s="265">
        <v>0</v>
      </c>
      <c r="O326" s="265">
        <v>445500000.00000006</v>
      </c>
      <c r="P326" s="264">
        <v>119092172.79726262</v>
      </c>
      <c r="Q326" s="266">
        <v>1.930791851851852E-2</v>
      </c>
      <c r="R326" s="216">
        <v>0.66594965925925931</v>
      </c>
      <c r="S326" s="216">
        <v>0.16138789382716048</v>
      </c>
      <c r="T326" s="218">
        <v>0.15335452839506172</v>
      </c>
      <c r="U326" s="1"/>
    </row>
    <row r="327" spans="2:21" ht="12.5" x14ac:dyDescent="0.25">
      <c r="B327" s="40" t="s">
        <v>426</v>
      </c>
      <c r="C327" s="41" t="s">
        <v>179</v>
      </c>
      <c r="D327" s="219" t="s">
        <v>69</v>
      </c>
      <c r="E327" s="229" t="s">
        <v>243</v>
      </c>
      <c r="F327" s="52" t="s">
        <v>24</v>
      </c>
      <c r="G327" s="52" t="s">
        <v>412</v>
      </c>
      <c r="H327" s="53">
        <v>43664</v>
      </c>
      <c r="I327" s="204">
        <v>88</v>
      </c>
      <c r="J327" s="233">
        <v>43668</v>
      </c>
      <c r="K327" s="264">
        <v>0</v>
      </c>
      <c r="L327" s="264">
        <v>520</v>
      </c>
      <c r="M327" s="265">
        <v>0</v>
      </c>
      <c r="N327" s="265">
        <v>7390103600</v>
      </c>
      <c r="O327" s="265">
        <v>7390103600</v>
      </c>
      <c r="P327" s="264">
        <v>1975963529.4117646</v>
      </c>
      <c r="Q327" s="266">
        <v>2.0243288605588696E-5</v>
      </c>
      <c r="R327" s="216">
        <v>0.27353823510674463</v>
      </c>
      <c r="S327" s="216">
        <v>0.72644152160464981</v>
      </c>
      <c r="T327" s="218">
        <v>0</v>
      </c>
      <c r="U327" s="1"/>
    </row>
    <row r="328" spans="2:21" ht="12.5" x14ac:dyDescent="0.25">
      <c r="B328" s="40" t="s">
        <v>441</v>
      </c>
      <c r="C328" s="41" t="s">
        <v>179</v>
      </c>
      <c r="D328" s="219" t="s">
        <v>136</v>
      </c>
      <c r="E328" s="229" t="s">
        <v>348</v>
      </c>
      <c r="F328" s="52" t="s">
        <v>24</v>
      </c>
      <c r="G328" s="52" t="s">
        <v>412</v>
      </c>
      <c r="H328" s="53">
        <v>43670</v>
      </c>
      <c r="I328" s="204">
        <v>42.5</v>
      </c>
      <c r="J328" s="233">
        <v>43672</v>
      </c>
      <c r="K328" s="264">
        <v>0</v>
      </c>
      <c r="L328" s="264">
        <v>474</v>
      </c>
      <c r="M328" s="265">
        <v>2664495000</v>
      </c>
      <c r="N328" s="265">
        <v>0</v>
      </c>
      <c r="O328" s="265">
        <v>2664495000</v>
      </c>
      <c r="P328" s="264">
        <v>705994806.70888424</v>
      </c>
      <c r="Q328" s="266">
        <v>0</v>
      </c>
      <c r="R328" s="216">
        <v>0.36130345806616265</v>
      </c>
      <c r="S328" s="216">
        <v>0.52997097010878236</v>
      </c>
      <c r="T328" s="218">
        <v>0.10872557182505503</v>
      </c>
      <c r="U328" s="1"/>
    </row>
    <row r="329" spans="2:21" ht="12.5" x14ac:dyDescent="0.25">
      <c r="B329" s="40" t="s">
        <v>419</v>
      </c>
      <c r="C329" s="41" t="s">
        <v>179</v>
      </c>
      <c r="D329" s="219" t="s">
        <v>147</v>
      </c>
      <c r="E329" s="229" t="s">
        <v>348</v>
      </c>
      <c r="F329" s="52" t="s">
        <v>24</v>
      </c>
      <c r="G329" s="52" t="s">
        <v>412</v>
      </c>
      <c r="H329" s="53">
        <v>43671</v>
      </c>
      <c r="I329" s="204">
        <v>15</v>
      </c>
      <c r="J329" s="233">
        <v>43675</v>
      </c>
      <c r="K329" s="264">
        <v>0</v>
      </c>
      <c r="L329" s="264">
        <v>942</v>
      </c>
      <c r="M329" s="265">
        <v>532500000</v>
      </c>
      <c r="N329" s="265">
        <v>300000000</v>
      </c>
      <c r="O329" s="265">
        <v>832500000</v>
      </c>
      <c r="P329" s="264">
        <v>219604843.17708194</v>
      </c>
      <c r="Q329" s="266">
        <v>3.6036036036036037E-4</v>
      </c>
      <c r="R329" s="216">
        <v>0.49053855855855855</v>
      </c>
      <c r="S329" s="216">
        <v>0.44159261261261262</v>
      </c>
      <c r="T329" s="218">
        <v>6.7508468468468474E-2</v>
      </c>
      <c r="U329" s="1"/>
    </row>
    <row r="330" spans="2:21" ht="12.5" x14ac:dyDescent="0.25">
      <c r="B330" s="40" t="s">
        <v>450</v>
      </c>
      <c r="C330" s="41" t="s">
        <v>184</v>
      </c>
      <c r="D330" s="219" t="s">
        <v>72</v>
      </c>
      <c r="E330" s="229" t="s">
        <v>190</v>
      </c>
      <c r="F330" s="52" t="s">
        <v>24</v>
      </c>
      <c r="G330" s="52" t="s">
        <v>412</v>
      </c>
      <c r="H330" s="53">
        <v>43675</v>
      </c>
      <c r="I330" s="204">
        <v>13.33</v>
      </c>
      <c r="J330" s="233">
        <v>43677</v>
      </c>
      <c r="K330" s="264">
        <v>0</v>
      </c>
      <c r="L330" s="264">
        <v>3632</v>
      </c>
      <c r="M330" s="265">
        <v>1247688000</v>
      </c>
      <c r="N330" s="265">
        <v>0</v>
      </c>
      <c r="O330" s="265">
        <v>1247688000</v>
      </c>
      <c r="P330" s="264">
        <v>331400037.18558264</v>
      </c>
      <c r="Q330" s="266">
        <v>0</v>
      </c>
      <c r="R330" s="216">
        <v>0.65372928418803422</v>
      </c>
      <c r="S330" s="216">
        <v>2.7471153846153847E-2</v>
      </c>
      <c r="T330" s="218">
        <v>0.318799561965812</v>
      </c>
      <c r="U330" s="1"/>
    </row>
    <row r="331" spans="2:21" ht="12.5" x14ac:dyDescent="0.25">
      <c r="B331" s="40" t="s">
        <v>439</v>
      </c>
      <c r="C331" s="41" t="s">
        <v>179</v>
      </c>
      <c r="D331" s="219" t="s">
        <v>144</v>
      </c>
      <c r="E331" s="229" t="s">
        <v>266</v>
      </c>
      <c r="F331" s="52" t="s">
        <v>24</v>
      </c>
      <c r="G331" s="52" t="s">
        <v>181</v>
      </c>
      <c r="H331" s="53">
        <v>43669</v>
      </c>
      <c r="I331" s="204">
        <v>24.5</v>
      </c>
      <c r="J331" s="233">
        <v>43671</v>
      </c>
      <c r="K331" s="264">
        <v>7348</v>
      </c>
      <c r="L331" s="264">
        <v>8282</v>
      </c>
      <c r="M331" s="265">
        <v>0</v>
      </c>
      <c r="N331" s="265">
        <v>9633093750</v>
      </c>
      <c r="O331" s="265">
        <v>9633093750</v>
      </c>
      <c r="P331" s="264">
        <v>2545138246.7172184</v>
      </c>
      <c r="Q331" s="266">
        <v>9.6246345573040848E-2</v>
      </c>
      <c r="R331" s="216">
        <v>0.4537832052137975</v>
      </c>
      <c r="S331" s="216">
        <v>0.44569897313622636</v>
      </c>
      <c r="T331" s="218">
        <v>4.2714760769353042E-3</v>
      </c>
      <c r="U331" s="1"/>
    </row>
    <row r="332" spans="2:21" ht="12.5" x14ac:dyDescent="0.25">
      <c r="B332" s="40" t="s">
        <v>322</v>
      </c>
      <c r="C332" s="41" t="s">
        <v>179</v>
      </c>
      <c r="D332" s="219" t="s">
        <v>87</v>
      </c>
      <c r="E332" s="229" t="s">
        <v>348</v>
      </c>
      <c r="F332" s="52" t="s">
        <v>24</v>
      </c>
      <c r="G332" s="52" t="s">
        <v>412</v>
      </c>
      <c r="H332" s="53">
        <v>43720</v>
      </c>
      <c r="I332" s="204">
        <v>10</v>
      </c>
      <c r="J332" s="233">
        <v>43724</v>
      </c>
      <c r="K332" s="264">
        <v>0</v>
      </c>
      <c r="L332" s="264">
        <v>761</v>
      </c>
      <c r="M332" s="265">
        <v>405000000</v>
      </c>
      <c r="N332" s="265">
        <v>0</v>
      </c>
      <c r="O332" s="265">
        <v>405000000</v>
      </c>
      <c r="P332" s="264">
        <v>99089841.456253663</v>
      </c>
      <c r="Q332" s="266">
        <v>0</v>
      </c>
      <c r="R332" s="216">
        <v>0.82014575308641979</v>
      </c>
      <c r="S332" s="216">
        <v>0.11024691358024691</v>
      </c>
      <c r="T332" s="218">
        <v>6.9607333333333327E-2</v>
      </c>
      <c r="U332" s="1"/>
    </row>
    <row r="333" spans="2:21" ht="12.5" x14ac:dyDescent="0.25">
      <c r="B333" s="40" t="s">
        <v>451</v>
      </c>
      <c r="C333" s="41" t="s">
        <v>189</v>
      </c>
      <c r="D333" s="219" t="s">
        <v>72</v>
      </c>
      <c r="E333" s="229" t="s">
        <v>348</v>
      </c>
      <c r="F333" s="52" t="s">
        <v>24</v>
      </c>
      <c r="G333" s="52" t="s">
        <v>412</v>
      </c>
      <c r="H333" s="53">
        <v>43727</v>
      </c>
      <c r="I333" s="204">
        <v>8.25</v>
      </c>
      <c r="J333" s="233">
        <v>43731</v>
      </c>
      <c r="K333" s="264">
        <v>0</v>
      </c>
      <c r="L333" s="264">
        <v>671</v>
      </c>
      <c r="M333" s="265">
        <v>521812500</v>
      </c>
      <c r="N333" s="265">
        <v>521812500</v>
      </c>
      <c r="O333" s="265">
        <v>1043625000</v>
      </c>
      <c r="P333" s="264">
        <v>250065893.51607803</v>
      </c>
      <c r="Q333" s="266">
        <v>1.5352332015810277E-3</v>
      </c>
      <c r="R333" s="216">
        <v>0.64222959683794467</v>
      </c>
      <c r="S333" s="216">
        <v>0.32960474308300397</v>
      </c>
      <c r="T333" s="218">
        <v>2.6630426877470356E-2</v>
      </c>
      <c r="U333" s="1"/>
    </row>
    <row r="334" spans="2:21" ht="12.5" x14ac:dyDescent="0.25">
      <c r="B334" s="40" t="s">
        <v>452</v>
      </c>
      <c r="C334" s="41" t="s">
        <v>179</v>
      </c>
      <c r="D334" s="219" t="s">
        <v>146</v>
      </c>
      <c r="E334" s="229" t="s">
        <v>348</v>
      </c>
      <c r="F334" s="52" t="s">
        <v>24</v>
      </c>
      <c r="G334" s="52" t="s">
        <v>412</v>
      </c>
      <c r="H334" s="53">
        <v>43725</v>
      </c>
      <c r="I334" s="204">
        <v>62</v>
      </c>
      <c r="J334" s="233">
        <v>43727</v>
      </c>
      <c r="K334" s="264">
        <v>0</v>
      </c>
      <c r="L334" s="264">
        <v>1797</v>
      </c>
      <c r="M334" s="265">
        <v>362700000</v>
      </c>
      <c r="N334" s="265">
        <v>0</v>
      </c>
      <c r="O334" s="265">
        <v>362700000</v>
      </c>
      <c r="P334" s="264">
        <v>87623511.22170414</v>
      </c>
      <c r="Q334" s="266">
        <v>1.0085470085470086E-3</v>
      </c>
      <c r="R334" s="216">
        <v>0.82035811965811967</v>
      </c>
      <c r="S334" s="216">
        <v>0.11709401709401709</v>
      </c>
      <c r="T334" s="218">
        <v>6.1539316239316237E-2</v>
      </c>
      <c r="U334" s="1"/>
    </row>
    <row r="335" spans="2:21" ht="12.5" x14ac:dyDescent="0.25">
      <c r="B335" s="40" t="s">
        <v>427</v>
      </c>
      <c r="C335" s="41" t="s">
        <v>179</v>
      </c>
      <c r="D335" s="219" t="s">
        <v>131</v>
      </c>
      <c r="E335" s="229" t="s">
        <v>381</v>
      </c>
      <c r="F335" s="52" t="s">
        <v>24</v>
      </c>
      <c r="G335" s="52" t="s">
        <v>412</v>
      </c>
      <c r="H335" s="53">
        <v>43733</v>
      </c>
      <c r="I335" s="204">
        <v>30</v>
      </c>
      <c r="J335" s="233">
        <v>43735</v>
      </c>
      <c r="K335" s="264">
        <v>148</v>
      </c>
      <c r="L335" s="264">
        <v>358</v>
      </c>
      <c r="M335" s="265">
        <v>830769240</v>
      </c>
      <c r="N335" s="265">
        <v>0</v>
      </c>
      <c r="O335" s="265">
        <v>830769240</v>
      </c>
      <c r="P335" s="264">
        <v>199766571.28429559</v>
      </c>
      <c r="Q335" s="266">
        <v>1.1244638763948458E-3</v>
      </c>
      <c r="R335" s="216">
        <v>0.64772701502525543</v>
      </c>
      <c r="S335" s="216">
        <v>0.35114852109834976</v>
      </c>
      <c r="T335" s="218">
        <v>0</v>
      </c>
      <c r="U335" s="1"/>
    </row>
    <row r="336" spans="2:21" ht="12.5" x14ac:dyDescent="0.25">
      <c r="B336" s="40" t="s">
        <v>295</v>
      </c>
      <c r="C336" s="41" t="s">
        <v>179</v>
      </c>
      <c r="D336" s="219" t="s">
        <v>87</v>
      </c>
      <c r="E336" s="229" t="s">
        <v>348</v>
      </c>
      <c r="F336" s="52" t="s">
        <v>24</v>
      </c>
      <c r="G336" s="52" t="s">
        <v>412</v>
      </c>
      <c r="H336" s="53">
        <v>43732</v>
      </c>
      <c r="I336" s="204">
        <v>36.25</v>
      </c>
      <c r="J336" s="233">
        <v>43734</v>
      </c>
      <c r="K336" s="264">
        <v>0</v>
      </c>
      <c r="L336" s="264">
        <v>889</v>
      </c>
      <c r="M336" s="265">
        <v>978750000</v>
      </c>
      <c r="N336" s="265">
        <v>0</v>
      </c>
      <c r="O336" s="265">
        <v>978750000</v>
      </c>
      <c r="P336" s="264">
        <v>236019677.34934533</v>
      </c>
      <c r="Q336" s="266">
        <v>0</v>
      </c>
      <c r="R336" s="216">
        <v>0.66978566666666661</v>
      </c>
      <c r="S336" s="216">
        <v>0.20166666666666666</v>
      </c>
      <c r="T336" s="218">
        <v>0.12854766666666667</v>
      </c>
      <c r="U336" s="1"/>
    </row>
    <row r="337" spans="2:21" ht="12.5" x14ac:dyDescent="0.25">
      <c r="B337" s="40" t="s">
        <v>330</v>
      </c>
      <c r="C337" s="41" t="s">
        <v>179</v>
      </c>
      <c r="D337" s="219" t="s">
        <v>87</v>
      </c>
      <c r="E337" s="229" t="s">
        <v>348</v>
      </c>
      <c r="F337" s="52" t="s">
        <v>24</v>
      </c>
      <c r="G337" s="52" t="s">
        <v>412</v>
      </c>
      <c r="H337" s="53">
        <v>43718</v>
      </c>
      <c r="I337" s="204">
        <v>2.65</v>
      </c>
      <c r="J337" s="233">
        <v>43752</v>
      </c>
      <c r="K337" s="264">
        <v>0</v>
      </c>
      <c r="L337" s="264">
        <v>581</v>
      </c>
      <c r="M337" s="265">
        <v>560057625</v>
      </c>
      <c r="N337" s="265">
        <v>0</v>
      </c>
      <c r="O337" s="265">
        <v>560057625</v>
      </c>
      <c r="P337" s="264">
        <v>135728770.32692727</v>
      </c>
      <c r="Q337" s="266">
        <v>3.9135526455871391E-3</v>
      </c>
      <c r="R337" s="216">
        <v>0.47377299880525686</v>
      </c>
      <c r="S337" s="216">
        <v>0.15100507470101848</v>
      </c>
      <c r="T337" s="218">
        <v>0.37130837384813753</v>
      </c>
      <c r="U337" s="1"/>
    </row>
    <row r="338" spans="2:21" ht="12.5" x14ac:dyDescent="0.25">
      <c r="B338" s="40" t="s">
        <v>453</v>
      </c>
      <c r="C338" s="41" t="s">
        <v>179</v>
      </c>
      <c r="D338" s="219" t="s">
        <v>126</v>
      </c>
      <c r="E338" s="229" t="s">
        <v>204</v>
      </c>
      <c r="F338" s="52" t="s">
        <v>23</v>
      </c>
      <c r="G338" s="52" t="s">
        <v>181</v>
      </c>
      <c r="H338" s="53">
        <v>43746</v>
      </c>
      <c r="I338" s="204">
        <v>24</v>
      </c>
      <c r="J338" s="233">
        <v>43748</v>
      </c>
      <c r="K338" s="264">
        <v>26986</v>
      </c>
      <c r="L338" s="264">
        <v>27872</v>
      </c>
      <c r="M338" s="265">
        <v>453471888</v>
      </c>
      <c r="N338" s="265">
        <v>1787377536</v>
      </c>
      <c r="O338" s="265">
        <v>2240849424</v>
      </c>
      <c r="P338" s="264">
        <v>544622535.9095881</v>
      </c>
      <c r="Q338" s="266">
        <v>0.12756181833513555</v>
      </c>
      <c r="R338" s="216">
        <v>0.56323525110119022</v>
      </c>
      <c r="S338" s="216">
        <v>0.30499752305768485</v>
      </c>
      <c r="T338" s="218">
        <v>4.2054075059893324E-3</v>
      </c>
      <c r="U338" s="1"/>
    </row>
    <row r="339" spans="2:21" ht="12.5" x14ac:dyDescent="0.25">
      <c r="B339" s="40" t="s">
        <v>242</v>
      </c>
      <c r="C339" s="41" t="s">
        <v>179</v>
      </c>
      <c r="D339" s="219" t="s">
        <v>72</v>
      </c>
      <c r="E339" s="229" t="s">
        <v>443</v>
      </c>
      <c r="F339" s="52" t="s">
        <v>24</v>
      </c>
      <c r="G339" s="52" t="s">
        <v>181</v>
      </c>
      <c r="H339" s="53">
        <v>43755</v>
      </c>
      <c r="I339" s="204">
        <v>44.05</v>
      </c>
      <c r="J339" s="233">
        <v>43759</v>
      </c>
      <c r="K339" s="264">
        <v>29222</v>
      </c>
      <c r="L339" s="264">
        <v>30039</v>
      </c>
      <c r="M339" s="265">
        <v>0</v>
      </c>
      <c r="N339" s="265">
        <v>5836921764.8499994</v>
      </c>
      <c r="O339" s="265">
        <v>5836921764.8499994</v>
      </c>
      <c r="P339" s="264">
        <v>1412648361.4922917</v>
      </c>
      <c r="Q339" s="266">
        <v>0.31500656453414894</v>
      </c>
      <c r="R339" s="216">
        <v>0.37245822452031252</v>
      </c>
      <c r="S339" s="216">
        <v>0.30210823167428835</v>
      </c>
      <c r="T339" s="218">
        <v>9.0145227861131334E-3</v>
      </c>
      <c r="U339" s="1"/>
    </row>
    <row r="340" spans="2:21" ht="12.5" x14ac:dyDescent="0.25">
      <c r="B340" s="40" t="s">
        <v>454</v>
      </c>
      <c r="C340" s="41" t="s">
        <v>179</v>
      </c>
      <c r="D340" s="219" t="s">
        <v>87</v>
      </c>
      <c r="E340" s="229" t="s">
        <v>348</v>
      </c>
      <c r="F340" s="52" t="s">
        <v>24</v>
      </c>
      <c r="G340" s="52" t="s">
        <v>412</v>
      </c>
      <c r="H340" s="53">
        <v>43760</v>
      </c>
      <c r="I340" s="204">
        <v>22.5</v>
      </c>
      <c r="J340" s="233">
        <v>43762</v>
      </c>
      <c r="K340" s="264">
        <v>0</v>
      </c>
      <c r="L340" s="264">
        <v>988</v>
      </c>
      <c r="M340" s="265">
        <v>637875000</v>
      </c>
      <c r="N340" s="265">
        <v>0</v>
      </c>
      <c r="O340" s="265">
        <v>637875000</v>
      </c>
      <c r="P340" s="264">
        <v>159114719.74855947</v>
      </c>
      <c r="Q340" s="266">
        <v>0</v>
      </c>
      <c r="R340" s="216">
        <v>0.38003679012345681</v>
      </c>
      <c r="S340" s="216">
        <v>0.18307904761904761</v>
      </c>
      <c r="T340" s="218">
        <v>0.4368841622574956</v>
      </c>
      <c r="U340" s="1"/>
    </row>
    <row r="341" spans="2:21" ht="12.5" x14ac:dyDescent="0.25">
      <c r="B341" s="40" t="s">
        <v>455</v>
      </c>
      <c r="C341" s="41" t="s">
        <v>179</v>
      </c>
      <c r="D341" s="219" t="s">
        <v>87</v>
      </c>
      <c r="E341" s="229" t="s">
        <v>190</v>
      </c>
      <c r="F341" s="52" t="s">
        <v>24</v>
      </c>
      <c r="G341" s="52" t="s">
        <v>181</v>
      </c>
      <c r="H341" s="53">
        <v>43766</v>
      </c>
      <c r="I341" s="204">
        <v>19</v>
      </c>
      <c r="J341" s="233">
        <v>43768</v>
      </c>
      <c r="K341" s="264">
        <v>1087</v>
      </c>
      <c r="L341" s="264">
        <v>1329</v>
      </c>
      <c r="M341" s="265">
        <v>863550000</v>
      </c>
      <c r="N341" s="265">
        <v>0</v>
      </c>
      <c r="O341" s="265">
        <v>863550000</v>
      </c>
      <c r="P341" s="264">
        <v>214888269.54660827</v>
      </c>
      <c r="Q341" s="266">
        <v>9.2730434782608701E-2</v>
      </c>
      <c r="R341" s="216">
        <v>0.56746115217391302</v>
      </c>
      <c r="S341" s="216">
        <v>0.28455195652173915</v>
      </c>
      <c r="T341" s="218">
        <v>5.5256456521739133E-2</v>
      </c>
      <c r="U341" s="1"/>
    </row>
    <row r="342" spans="2:21" ht="12.5" x14ac:dyDescent="0.25">
      <c r="B342" s="40" t="s">
        <v>262</v>
      </c>
      <c r="C342" s="41" t="s">
        <v>179</v>
      </c>
      <c r="D342" s="219" t="s">
        <v>121</v>
      </c>
      <c r="E342" s="229" t="s">
        <v>204</v>
      </c>
      <c r="F342" s="52" t="s">
        <v>24</v>
      </c>
      <c r="G342" s="52" t="s">
        <v>412</v>
      </c>
      <c r="H342" s="53">
        <v>43767</v>
      </c>
      <c r="I342" s="204">
        <v>7</v>
      </c>
      <c r="J342" s="233">
        <v>43769</v>
      </c>
      <c r="K342" s="264">
        <v>456</v>
      </c>
      <c r="L342" s="264">
        <v>548</v>
      </c>
      <c r="M342" s="265">
        <v>147000000</v>
      </c>
      <c r="N342" s="265">
        <v>0</v>
      </c>
      <c r="O342" s="265">
        <v>147000000</v>
      </c>
      <c r="P342" s="264">
        <v>36712369.820933543</v>
      </c>
      <c r="Q342" s="266">
        <v>1.0624095238095238E-2</v>
      </c>
      <c r="R342" s="216">
        <v>0.72731090476190474</v>
      </c>
      <c r="S342" s="216">
        <v>0.26196585714285714</v>
      </c>
      <c r="T342" s="218">
        <v>9.9142857142857146E-5</v>
      </c>
      <c r="U342" s="1"/>
    </row>
    <row r="343" spans="2:21" ht="12.5" x14ac:dyDescent="0.25">
      <c r="B343" s="40" t="s">
        <v>456</v>
      </c>
      <c r="C343" s="41" t="s">
        <v>189</v>
      </c>
      <c r="D343" s="219" t="s">
        <v>72</v>
      </c>
      <c r="E343" s="229" t="s">
        <v>457</v>
      </c>
      <c r="F343" s="52" t="s">
        <v>23</v>
      </c>
      <c r="G343" s="52" t="s">
        <v>181</v>
      </c>
      <c r="H343" s="53">
        <v>43762</v>
      </c>
      <c r="I343" s="204">
        <v>11.6</v>
      </c>
      <c r="J343" s="233">
        <v>43766</v>
      </c>
      <c r="K343" s="264">
        <v>4703</v>
      </c>
      <c r="L343" s="264">
        <v>5252</v>
      </c>
      <c r="M343" s="265">
        <v>1200000013.2</v>
      </c>
      <c r="N343" s="265">
        <v>191304358</v>
      </c>
      <c r="O343" s="265">
        <v>1391304371.2</v>
      </c>
      <c r="P343" s="264">
        <v>349635456.28628153</v>
      </c>
      <c r="Q343" s="266">
        <v>0.10140722788452047</v>
      </c>
      <c r="R343" s="216">
        <v>0.61375558724868851</v>
      </c>
      <c r="S343" s="216">
        <v>0.2746679579786524</v>
      </c>
      <c r="T343" s="218">
        <v>1.0169226888138504E-2</v>
      </c>
      <c r="U343" s="1"/>
    </row>
    <row r="344" spans="2:21" ht="12.5" x14ac:dyDescent="0.25">
      <c r="B344" s="40" t="s">
        <v>458</v>
      </c>
      <c r="C344" s="41" t="s">
        <v>179</v>
      </c>
      <c r="D344" s="219" t="s">
        <v>143</v>
      </c>
      <c r="E344" s="229" t="s">
        <v>185</v>
      </c>
      <c r="F344" s="52" t="s">
        <v>23</v>
      </c>
      <c r="G344" s="52" t="s">
        <v>181</v>
      </c>
      <c r="H344" s="53">
        <v>43762</v>
      </c>
      <c r="I344" s="204">
        <v>16.5</v>
      </c>
      <c r="J344" s="233">
        <v>43766</v>
      </c>
      <c r="K344" s="264">
        <v>4247</v>
      </c>
      <c r="L344" s="264">
        <v>4724</v>
      </c>
      <c r="M344" s="265">
        <v>813698622</v>
      </c>
      <c r="N344" s="265">
        <v>941070009</v>
      </c>
      <c r="O344" s="265">
        <v>1754768631</v>
      </c>
      <c r="P344" s="264">
        <v>440974199.23102057</v>
      </c>
      <c r="Q344" s="266">
        <v>9.6985583330420844E-2</v>
      </c>
      <c r="R344" s="216">
        <v>0.50624742055424221</v>
      </c>
      <c r="S344" s="216">
        <v>0.39321048149407806</v>
      </c>
      <c r="T344" s="218">
        <v>3.5565146212588202E-3</v>
      </c>
      <c r="U344" s="1"/>
    </row>
    <row r="345" spans="2:21" ht="12.5" x14ac:dyDescent="0.25">
      <c r="B345" s="40" t="s">
        <v>377</v>
      </c>
      <c r="C345" s="41" t="s">
        <v>179</v>
      </c>
      <c r="D345" s="219" t="s">
        <v>125</v>
      </c>
      <c r="E345" s="229" t="s">
        <v>204</v>
      </c>
      <c r="F345" s="52" t="s">
        <v>24</v>
      </c>
      <c r="G345" s="52" t="s">
        <v>412</v>
      </c>
      <c r="H345" s="53">
        <v>43781</v>
      </c>
      <c r="I345" s="204">
        <v>43</v>
      </c>
      <c r="J345" s="233">
        <v>43783</v>
      </c>
      <c r="K345" s="264">
        <v>2870</v>
      </c>
      <c r="L345" s="264">
        <v>3803</v>
      </c>
      <c r="M345" s="265">
        <v>4300000000</v>
      </c>
      <c r="N345" s="265">
        <v>430000000</v>
      </c>
      <c r="O345" s="265">
        <v>4730000000</v>
      </c>
      <c r="P345" s="264">
        <v>1130740360.0200808</v>
      </c>
      <c r="Q345" s="266">
        <v>2.447681818181818E-3</v>
      </c>
      <c r="R345" s="216">
        <v>0.56667219999999996</v>
      </c>
      <c r="S345" s="216">
        <v>0.42326165454545456</v>
      </c>
      <c r="T345" s="218">
        <v>7.6184636363636361E-3</v>
      </c>
      <c r="U345" s="1"/>
    </row>
    <row r="346" spans="2:21" ht="12.5" x14ac:dyDescent="0.25">
      <c r="B346" s="40" t="s">
        <v>280</v>
      </c>
      <c r="C346" s="41" t="s">
        <v>179</v>
      </c>
      <c r="D346" s="219" t="s">
        <v>87</v>
      </c>
      <c r="E346" s="229" t="s">
        <v>348</v>
      </c>
      <c r="F346" s="52" t="s">
        <v>24</v>
      </c>
      <c r="G346" s="52" t="s">
        <v>412</v>
      </c>
      <c r="H346" s="53">
        <v>43782</v>
      </c>
      <c r="I346" s="204">
        <v>4.75</v>
      </c>
      <c r="J346" s="233">
        <v>43787</v>
      </c>
      <c r="K346" s="264">
        <v>0</v>
      </c>
      <c r="L346" s="264">
        <v>1619</v>
      </c>
      <c r="M346" s="265">
        <v>513000000</v>
      </c>
      <c r="N346" s="265">
        <v>0</v>
      </c>
      <c r="O346" s="265">
        <v>513000000</v>
      </c>
      <c r="P346" s="264">
        <v>122648050.30243623</v>
      </c>
      <c r="Q346" s="266">
        <v>0</v>
      </c>
      <c r="R346" s="216">
        <v>0.55287562962962966</v>
      </c>
      <c r="S346" s="216">
        <v>0.38842592592592595</v>
      </c>
      <c r="T346" s="218">
        <v>5.8698444444444442E-2</v>
      </c>
      <c r="U346" s="1"/>
    </row>
    <row r="347" spans="2:21" ht="12.5" x14ac:dyDescent="0.25">
      <c r="B347" s="40" t="s">
        <v>294</v>
      </c>
      <c r="C347" s="41" t="s">
        <v>179</v>
      </c>
      <c r="D347" s="219" t="s">
        <v>148</v>
      </c>
      <c r="E347" s="229" t="s">
        <v>447</v>
      </c>
      <c r="F347" s="52" t="s">
        <v>24</v>
      </c>
      <c r="G347" s="52" t="s">
        <v>412</v>
      </c>
      <c r="H347" s="53">
        <v>43790</v>
      </c>
      <c r="I347" s="204">
        <v>14.5</v>
      </c>
      <c r="J347" s="233">
        <v>43794</v>
      </c>
      <c r="K347" s="264">
        <v>0</v>
      </c>
      <c r="L347" s="264">
        <v>421</v>
      </c>
      <c r="M347" s="265">
        <v>633650000</v>
      </c>
      <c r="N347" s="265">
        <v>0</v>
      </c>
      <c r="O347" s="265">
        <v>633650000</v>
      </c>
      <c r="P347" s="264">
        <v>148887426.86623278</v>
      </c>
      <c r="Q347" s="266">
        <v>0</v>
      </c>
      <c r="R347" s="216">
        <v>0.56635983981693361</v>
      </c>
      <c r="S347" s="216">
        <v>0.35230114416475972</v>
      </c>
      <c r="T347" s="218">
        <v>8.1339016018306634E-2</v>
      </c>
      <c r="U347" s="1"/>
    </row>
    <row r="348" spans="2:21" ht="12.5" x14ac:dyDescent="0.25">
      <c r="B348" s="40" t="s">
        <v>357</v>
      </c>
      <c r="C348" s="41" t="s">
        <v>179</v>
      </c>
      <c r="D348" s="219" t="s">
        <v>87</v>
      </c>
      <c r="E348" s="229" t="s">
        <v>204</v>
      </c>
      <c r="F348" s="52" t="s">
        <v>24</v>
      </c>
      <c r="G348" s="52" t="s">
        <v>412</v>
      </c>
      <c r="H348" s="53">
        <v>43790</v>
      </c>
      <c r="I348" s="204">
        <v>12.5</v>
      </c>
      <c r="J348" s="233">
        <v>43794</v>
      </c>
      <c r="K348" s="264">
        <v>51</v>
      </c>
      <c r="L348" s="264">
        <v>299</v>
      </c>
      <c r="M348" s="265">
        <v>1054687500</v>
      </c>
      <c r="N348" s="265">
        <v>0</v>
      </c>
      <c r="O348" s="265">
        <v>1054687500</v>
      </c>
      <c r="P348" s="264">
        <v>247817735.37912077</v>
      </c>
      <c r="Q348" s="266">
        <v>4.4242962962962962E-4</v>
      </c>
      <c r="R348" s="216">
        <v>0.53270363259259257</v>
      </c>
      <c r="S348" s="216">
        <v>0.46446416592592593</v>
      </c>
      <c r="T348" s="218">
        <v>2.3897718518518518E-3</v>
      </c>
      <c r="U348" s="1"/>
    </row>
    <row r="349" spans="2:21" ht="12.5" x14ac:dyDescent="0.25">
      <c r="B349" s="40" t="s">
        <v>459</v>
      </c>
      <c r="C349" s="41" t="s">
        <v>179</v>
      </c>
      <c r="D349" s="219" t="s">
        <v>143</v>
      </c>
      <c r="E349" s="229" t="s">
        <v>204</v>
      </c>
      <c r="F349" s="52" t="s">
        <v>24</v>
      </c>
      <c r="G349" s="52" t="s">
        <v>412</v>
      </c>
      <c r="H349" s="53">
        <v>43803</v>
      </c>
      <c r="I349" s="204">
        <v>10</v>
      </c>
      <c r="J349" s="233">
        <v>43805</v>
      </c>
      <c r="K349" s="264">
        <v>130</v>
      </c>
      <c r="L349" s="264">
        <v>374</v>
      </c>
      <c r="M349" s="265">
        <v>567708330</v>
      </c>
      <c r="N349" s="265">
        <v>0</v>
      </c>
      <c r="O349" s="265">
        <v>567708330</v>
      </c>
      <c r="P349" s="264">
        <v>135870648.34980732</v>
      </c>
      <c r="Q349" s="266">
        <v>3.3597181848644005E-3</v>
      </c>
      <c r="R349" s="216">
        <v>0.66781627107708641</v>
      </c>
      <c r="S349" s="216">
        <v>0.29617224394082786</v>
      </c>
      <c r="T349" s="218">
        <v>3.2651766797221385E-2</v>
      </c>
      <c r="U349" s="1"/>
    </row>
    <row r="350" spans="2:21" ht="12.5" x14ac:dyDescent="0.25">
      <c r="B350" s="40" t="s">
        <v>460</v>
      </c>
      <c r="C350" s="41" t="s">
        <v>179</v>
      </c>
      <c r="D350" s="219" t="s">
        <v>87</v>
      </c>
      <c r="E350" s="229" t="s">
        <v>461</v>
      </c>
      <c r="F350" s="52" t="s">
        <v>24</v>
      </c>
      <c r="G350" s="52" t="s">
        <v>412</v>
      </c>
      <c r="H350" s="53">
        <v>43804</v>
      </c>
      <c r="I350" s="204">
        <v>43</v>
      </c>
      <c r="J350" s="233">
        <v>43808</v>
      </c>
      <c r="K350" s="264">
        <v>0</v>
      </c>
      <c r="L350" s="264">
        <v>443</v>
      </c>
      <c r="M350" s="265">
        <v>1190769244</v>
      </c>
      <c r="N350" s="265">
        <v>0</v>
      </c>
      <c r="O350" s="265">
        <v>1190769244</v>
      </c>
      <c r="P350" s="264">
        <v>286911607.35368532</v>
      </c>
      <c r="Q350" s="266">
        <v>9.4249998952777793E-4</v>
      </c>
      <c r="R350" s="216">
        <v>0.49793823613401961</v>
      </c>
      <c r="S350" s="216">
        <v>0.36040657932881581</v>
      </c>
      <c r="T350" s="218">
        <v>0.14071268454763683</v>
      </c>
      <c r="U350" s="1"/>
    </row>
    <row r="351" spans="2:21" ht="12.5" x14ac:dyDescent="0.25">
      <c r="B351" s="40" t="s">
        <v>440</v>
      </c>
      <c r="C351" s="41" t="s">
        <v>179</v>
      </c>
      <c r="D351" s="219" t="s">
        <v>136</v>
      </c>
      <c r="E351" s="229" t="s">
        <v>204</v>
      </c>
      <c r="F351" s="52" t="s">
        <v>24</v>
      </c>
      <c r="G351" s="52" t="s">
        <v>412</v>
      </c>
      <c r="H351" s="53">
        <v>43810</v>
      </c>
      <c r="I351" s="204">
        <v>57</v>
      </c>
      <c r="J351" s="233">
        <v>43812</v>
      </c>
      <c r="K351" s="264">
        <v>662</v>
      </c>
      <c r="L351" s="264">
        <v>1376</v>
      </c>
      <c r="M351" s="265">
        <v>3705000000</v>
      </c>
      <c r="N351" s="265">
        <v>1296750000</v>
      </c>
      <c r="O351" s="265">
        <v>5001750000</v>
      </c>
      <c r="P351" s="264">
        <v>1221458399.4725146</v>
      </c>
      <c r="Q351" s="266">
        <v>6.2811396011396015E-4</v>
      </c>
      <c r="R351" s="216">
        <v>0.44429349287749287</v>
      </c>
      <c r="S351" s="216">
        <v>0.55414322507122504</v>
      </c>
      <c r="T351" s="218">
        <v>9.351680911680912E-4</v>
      </c>
      <c r="U351" s="1"/>
    </row>
    <row r="352" spans="2:21" ht="12.5" x14ac:dyDescent="0.25">
      <c r="B352" s="40" t="s">
        <v>388</v>
      </c>
      <c r="C352" s="41" t="s">
        <v>179</v>
      </c>
      <c r="D352" s="219" t="s">
        <v>76</v>
      </c>
      <c r="E352" s="229" t="s">
        <v>204</v>
      </c>
      <c r="F352" s="52" t="s">
        <v>24</v>
      </c>
      <c r="G352" s="52" t="s">
        <v>412</v>
      </c>
      <c r="H352" s="53">
        <v>43816</v>
      </c>
      <c r="I352" s="204">
        <v>19.5</v>
      </c>
      <c r="J352" s="233">
        <v>43818</v>
      </c>
      <c r="K352" s="264">
        <v>593</v>
      </c>
      <c r="L352" s="264">
        <v>1061</v>
      </c>
      <c r="M352" s="265">
        <v>1189500000</v>
      </c>
      <c r="N352" s="265">
        <v>639771249</v>
      </c>
      <c r="O352" s="265">
        <v>1829271249</v>
      </c>
      <c r="P352" s="264">
        <v>450193500.11074746</v>
      </c>
      <c r="Q352" s="266">
        <v>2.3667826749951834E-3</v>
      </c>
      <c r="R352" s="216">
        <v>0.48046370541299643</v>
      </c>
      <c r="S352" s="216">
        <v>0.50952361794869061</v>
      </c>
      <c r="T352" s="218">
        <v>7.6458939633178482E-3</v>
      </c>
      <c r="U352" s="1"/>
    </row>
    <row r="353" spans="2:21" ht="12.5" x14ac:dyDescent="0.25">
      <c r="B353" s="40" t="s">
        <v>298</v>
      </c>
      <c r="C353" s="41" t="s">
        <v>179</v>
      </c>
      <c r="D353" s="219" t="s">
        <v>149</v>
      </c>
      <c r="E353" s="219" t="s">
        <v>211</v>
      </c>
      <c r="F353" s="19" t="s">
        <v>24</v>
      </c>
      <c r="G353" s="19" t="s">
        <v>412</v>
      </c>
      <c r="H353" s="20">
        <v>43816</v>
      </c>
      <c r="I353" s="193">
        <v>10</v>
      </c>
      <c r="J353" s="194">
        <v>43818</v>
      </c>
      <c r="K353" s="195">
        <v>614</v>
      </c>
      <c r="L353" s="195">
        <v>681</v>
      </c>
      <c r="M353" s="196">
        <v>900900910</v>
      </c>
      <c r="N353" s="196">
        <v>2096484270</v>
      </c>
      <c r="O353" s="196">
        <v>2997385180</v>
      </c>
      <c r="P353" s="195">
        <v>737672625.69832408</v>
      </c>
      <c r="Q353" s="197">
        <v>0.14105915143011416</v>
      </c>
      <c r="R353" s="163">
        <v>0.39980733140209895</v>
      </c>
      <c r="S353" s="163">
        <v>0.45913351716778689</v>
      </c>
      <c r="T353" s="164">
        <v>0</v>
      </c>
      <c r="U353" s="1"/>
    </row>
    <row r="354" spans="2:21" ht="13" thickBot="1" x14ac:dyDescent="0.3">
      <c r="B354" s="61" t="s">
        <v>341</v>
      </c>
      <c r="C354" s="62" t="s">
        <v>179</v>
      </c>
      <c r="D354" s="62" t="s">
        <v>143</v>
      </c>
      <c r="E354" s="62" t="s">
        <v>211</v>
      </c>
      <c r="F354" s="31" t="s">
        <v>24</v>
      </c>
      <c r="G354" s="31" t="s">
        <v>412</v>
      </c>
      <c r="H354" s="32">
        <v>43817</v>
      </c>
      <c r="I354" s="259">
        <v>15</v>
      </c>
      <c r="J354" s="260">
        <v>43819</v>
      </c>
      <c r="K354" s="261">
        <v>121</v>
      </c>
      <c r="L354" s="261">
        <v>141</v>
      </c>
      <c r="M354" s="262">
        <v>258750000</v>
      </c>
      <c r="N354" s="262">
        <v>0</v>
      </c>
      <c r="O354" s="262">
        <v>258750000</v>
      </c>
      <c r="P354" s="261">
        <v>63454888.785344675</v>
      </c>
      <c r="Q354" s="263">
        <v>0.2988846956521739</v>
      </c>
      <c r="R354" s="165">
        <v>0.6967674782608696</v>
      </c>
      <c r="S354" s="165">
        <v>4.3478260869565218E-3</v>
      </c>
      <c r="T354" s="166">
        <v>0</v>
      </c>
      <c r="U354" s="1"/>
    </row>
    <row r="355" spans="2:21" ht="13" thickTop="1" x14ac:dyDescent="0.25">
      <c r="B355" s="106" t="s">
        <v>304</v>
      </c>
      <c r="C355" s="107" t="s">
        <v>179</v>
      </c>
      <c r="D355" s="251" t="s">
        <v>149</v>
      </c>
      <c r="E355" s="251" t="s">
        <v>348</v>
      </c>
      <c r="F355" s="107" t="s">
        <v>24</v>
      </c>
      <c r="G355" s="107" t="s">
        <v>412</v>
      </c>
      <c r="H355" s="108">
        <v>43853</v>
      </c>
      <c r="I355" s="252">
        <v>13</v>
      </c>
      <c r="J355" s="253">
        <v>43857</v>
      </c>
      <c r="K355" s="254">
        <v>0</v>
      </c>
      <c r="L355" s="254">
        <v>1226</v>
      </c>
      <c r="M355" s="255">
        <v>1040000000</v>
      </c>
      <c r="N355" s="255">
        <v>195000000</v>
      </c>
      <c r="O355" s="255">
        <v>1235000000</v>
      </c>
      <c r="P355" s="254">
        <v>292681770.78396058</v>
      </c>
      <c r="Q355" s="256">
        <v>0</v>
      </c>
      <c r="R355" s="257">
        <v>0.47924267368421053</v>
      </c>
      <c r="S355" s="257">
        <v>0.42518526315789473</v>
      </c>
      <c r="T355" s="258">
        <v>9.5572063157894738E-2</v>
      </c>
      <c r="U355" s="1"/>
    </row>
    <row r="356" spans="2:21" ht="12.5" x14ac:dyDescent="0.25">
      <c r="B356" s="40" t="s">
        <v>403</v>
      </c>
      <c r="C356" s="41" t="s">
        <v>179</v>
      </c>
      <c r="D356" s="219" t="s">
        <v>98</v>
      </c>
      <c r="E356" s="229" t="s">
        <v>457</v>
      </c>
      <c r="F356" s="52" t="s">
        <v>24</v>
      </c>
      <c r="G356" s="52" t="s">
        <v>412</v>
      </c>
      <c r="H356" s="53">
        <v>43859</v>
      </c>
      <c r="I356" s="204">
        <v>36.25</v>
      </c>
      <c r="J356" s="233">
        <v>43861</v>
      </c>
      <c r="K356" s="264">
        <v>96</v>
      </c>
      <c r="L356" s="264">
        <v>332</v>
      </c>
      <c r="M356" s="265">
        <v>1100213600</v>
      </c>
      <c r="N356" s="265">
        <v>0</v>
      </c>
      <c r="O356" s="265">
        <v>1100213600</v>
      </c>
      <c r="P356" s="264">
        <v>257691439.27860406</v>
      </c>
      <c r="Q356" s="266">
        <v>0.1322984100541931</v>
      </c>
      <c r="R356" s="216">
        <v>0.56927773047888153</v>
      </c>
      <c r="S356" s="216">
        <v>0.29842385946692535</v>
      </c>
      <c r="T356" s="218">
        <v>0</v>
      </c>
      <c r="U356" s="1"/>
    </row>
    <row r="357" spans="2:21" ht="12.5" x14ac:dyDescent="0.25">
      <c r="B357" s="40" t="s">
        <v>462</v>
      </c>
      <c r="C357" s="41" t="s">
        <v>179</v>
      </c>
      <c r="D357" s="219" t="s">
        <v>150</v>
      </c>
      <c r="E357" s="229" t="s">
        <v>348</v>
      </c>
      <c r="F357" s="52" t="s">
        <v>24</v>
      </c>
      <c r="G357" s="52" t="s">
        <v>412</v>
      </c>
      <c r="H357" s="53">
        <v>43860</v>
      </c>
      <c r="I357" s="204">
        <v>6.55</v>
      </c>
      <c r="J357" s="233">
        <v>43864</v>
      </c>
      <c r="K357" s="264">
        <v>0</v>
      </c>
      <c r="L357" s="264">
        <v>321</v>
      </c>
      <c r="M357" s="265">
        <v>353700000</v>
      </c>
      <c r="N357" s="265">
        <v>0</v>
      </c>
      <c r="O357" s="265">
        <v>353700000</v>
      </c>
      <c r="P357" s="264">
        <v>83272513.243084177</v>
      </c>
      <c r="Q357" s="266">
        <v>0</v>
      </c>
      <c r="R357" s="216">
        <v>0.82411924074074072</v>
      </c>
      <c r="S357" s="216">
        <v>0.13694444444444445</v>
      </c>
      <c r="T357" s="218">
        <v>3.8936314814814812E-2</v>
      </c>
      <c r="U357" s="1"/>
    </row>
    <row r="358" spans="2:21" ht="12.5" x14ac:dyDescent="0.25">
      <c r="B358" s="40" t="s">
        <v>463</v>
      </c>
      <c r="C358" s="41" t="s">
        <v>179</v>
      </c>
      <c r="D358" s="219" t="s">
        <v>87</v>
      </c>
      <c r="E358" s="229" t="s">
        <v>204</v>
      </c>
      <c r="F358" s="52" t="s">
        <v>23</v>
      </c>
      <c r="G358" s="52" t="s">
        <v>181</v>
      </c>
      <c r="H358" s="53">
        <v>43864</v>
      </c>
      <c r="I358" s="204">
        <v>19.3</v>
      </c>
      <c r="J358" s="233">
        <v>43866</v>
      </c>
      <c r="K358" s="264">
        <v>7300</v>
      </c>
      <c r="L358" s="264">
        <v>7748</v>
      </c>
      <c r="M358" s="265">
        <v>958724026</v>
      </c>
      <c r="N358" s="265">
        <v>94003236.200000003</v>
      </c>
      <c r="O358" s="265">
        <v>1052727262.2</v>
      </c>
      <c r="P358" s="264">
        <v>247998130.03839901</v>
      </c>
      <c r="Q358" s="266">
        <v>0.10116679204494311</v>
      </c>
      <c r="R358" s="216">
        <v>0.42703269496718532</v>
      </c>
      <c r="S358" s="216">
        <v>0.4502438366019848</v>
      </c>
      <c r="T358" s="218">
        <v>2.1556676385886799E-2</v>
      </c>
      <c r="U358" s="1"/>
    </row>
    <row r="359" spans="2:21" ht="12.5" x14ac:dyDescent="0.25">
      <c r="B359" s="40" t="s">
        <v>464</v>
      </c>
      <c r="C359" s="41" t="s">
        <v>179</v>
      </c>
      <c r="D359" s="219" t="s">
        <v>146</v>
      </c>
      <c r="E359" s="229" t="s">
        <v>204</v>
      </c>
      <c r="F359" s="52" t="s">
        <v>23</v>
      </c>
      <c r="G359" s="52" t="s">
        <v>181</v>
      </c>
      <c r="H359" s="53">
        <v>43865</v>
      </c>
      <c r="I359" s="204">
        <v>17.25</v>
      </c>
      <c r="J359" s="233">
        <v>43867</v>
      </c>
      <c r="K359" s="264">
        <v>3180</v>
      </c>
      <c r="L359" s="264">
        <v>3704</v>
      </c>
      <c r="M359" s="265">
        <v>574999994.25</v>
      </c>
      <c r="N359" s="265">
        <v>750144988.5</v>
      </c>
      <c r="O359" s="265">
        <v>1325144982.75</v>
      </c>
      <c r="P359" s="264">
        <v>311967649.02182359</v>
      </c>
      <c r="Q359" s="266">
        <v>0.1001020059893518</v>
      </c>
      <c r="R359" s="216">
        <v>0.32811089987126918</v>
      </c>
      <c r="S359" s="216">
        <v>0.54889604984243756</v>
      </c>
      <c r="T359" s="218">
        <v>2.2891044296941478E-2</v>
      </c>
      <c r="U359" s="1"/>
    </row>
    <row r="360" spans="2:21" ht="12.5" x14ac:dyDescent="0.25">
      <c r="B360" s="40" t="s">
        <v>364</v>
      </c>
      <c r="C360" s="41" t="s">
        <v>184</v>
      </c>
      <c r="D360" s="219" t="s">
        <v>144</v>
      </c>
      <c r="E360" s="229" t="s">
        <v>202</v>
      </c>
      <c r="F360" s="52" t="s">
        <v>24</v>
      </c>
      <c r="G360" s="52" t="s">
        <v>181</v>
      </c>
      <c r="H360" s="53">
        <v>43866</v>
      </c>
      <c r="I360" s="204">
        <v>30</v>
      </c>
      <c r="J360" s="233">
        <v>43868</v>
      </c>
      <c r="K360" s="264">
        <v>53097</v>
      </c>
      <c r="L360" s="264">
        <v>55292</v>
      </c>
      <c r="M360" s="265">
        <v>0</v>
      </c>
      <c r="N360" s="265">
        <v>22026080970</v>
      </c>
      <c r="O360" s="265">
        <v>22026080970</v>
      </c>
      <c r="P360" s="264">
        <v>5113306938.8986912</v>
      </c>
      <c r="Q360" s="266">
        <v>0.16906688870671122</v>
      </c>
      <c r="R360" s="216">
        <v>0.43540777694689459</v>
      </c>
      <c r="S360" s="216">
        <v>0.38807323561745721</v>
      </c>
      <c r="T360" s="218">
        <v>7.4520987289369801E-3</v>
      </c>
      <c r="U360" s="1"/>
    </row>
    <row r="361" spans="2:21" ht="12.5" x14ac:dyDescent="0.25">
      <c r="B361" s="40" t="s">
        <v>465</v>
      </c>
      <c r="C361" s="41" t="s">
        <v>179</v>
      </c>
      <c r="D361" s="219" t="s">
        <v>98</v>
      </c>
      <c r="E361" s="229" t="s">
        <v>204</v>
      </c>
      <c r="F361" s="52" t="s">
        <v>24</v>
      </c>
      <c r="G361" s="52" t="s">
        <v>412</v>
      </c>
      <c r="H361" s="53">
        <v>43872</v>
      </c>
      <c r="I361" s="204">
        <v>11</v>
      </c>
      <c r="J361" s="233">
        <v>43874</v>
      </c>
      <c r="K361" s="264">
        <v>1</v>
      </c>
      <c r="L361" s="264">
        <v>2042</v>
      </c>
      <c r="M361" s="265">
        <v>2555938044</v>
      </c>
      <c r="N361" s="265">
        <v>0</v>
      </c>
      <c r="O361" s="265">
        <v>2555938044</v>
      </c>
      <c r="P361" s="264">
        <v>589075121.34411955</v>
      </c>
      <c r="Q361" s="266">
        <v>8.6074073867496297E-5</v>
      </c>
      <c r="R361" s="216">
        <v>0.30330180061281642</v>
      </c>
      <c r="S361" s="216">
        <v>0.44945746736574654</v>
      </c>
      <c r="T361" s="218">
        <v>0.24715465794756955</v>
      </c>
      <c r="U361" s="1"/>
    </row>
    <row r="362" spans="2:21" ht="12.5" x14ac:dyDescent="0.25">
      <c r="B362" s="40" t="s">
        <v>466</v>
      </c>
      <c r="C362" s="41" t="s">
        <v>179</v>
      </c>
      <c r="D362" s="219" t="s">
        <v>87</v>
      </c>
      <c r="E362" s="229" t="s">
        <v>204</v>
      </c>
      <c r="F362" s="52" t="s">
        <v>23</v>
      </c>
      <c r="G362" s="52" t="s">
        <v>181</v>
      </c>
      <c r="H362" s="53">
        <v>43872</v>
      </c>
      <c r="I362" s="204">
        <v>19</v>
      </c>
      <c r="J362" s="233">
        <v>43874</v>
      </c>
      <c r="K362" s="264">
        <v>4678</v>
      </c>
      <c r="L362" s="264">
        <v>4948</v>
      </c>
      <c r="M362" s="265">
        <v>1104867005</v>
      </c>
      <c r="N362" s="265">
        <v>0</v>
      </c>
      <c r="O362" s="265">
        <v>1104867005</v>
      </c>
      <c r="P362" s="264">
        <v>254642191.56929177</v>
      </c>
      <c r="Q362" s="266">
        <v>9.7688715535139414E-2</v>
      </c>
      <c r="R362" s="216">
        <v>0.58761211359542875</v>
      </c>
      <c r="S362" s="216">
        <v>0.3110162628928631</v>
      </c>
      <c r="T362" s="218">
        <v>3.6829079765686827E-3</v>
      </c>
      <c r="U362" s="1"/>
    </row>
    <row r="363" spans="2:21" ht="12.5" x14ac:dyDescent="0.25">
      <c r="B363" s="40" t="s">
        <v>467</v>
      </c>
      <c r="C363" s="41" t="s">
        <v>179</v>
      </c>
      <c r="D363" s="219" t="s">
        <v>86</v>
      </c>
      <c r="E363" s="229" t="s">
        <v>457</v>
      </c>
      <c r="F363" s="52" t="s">
        <v>23</v>
      </c>
      <c r="G363" s="52" t="s">
        <v>181</v>
      </c>
      <c r="H363" s="53">
        <v>43874</v>
      </c>
      <c r="I363" s="204">
        <v>10</v>
      </c>
      <c r="J363" s="233">
        <v>43878</v>
      </c>
      <c r="K363" s="264">
        <v>9671</v>
      </c>
      <c r="L363" s="264">
        <v>9909</v>
      </c>
      <c r="M363" s="265">
        <v>173913040</v>
      </c>
      <c r="N363" s="265">
        <v>26086950</v>
      </c>
      <c r="O363" s="265">
        <v>199999990</v>
      </c>
      <c r="P363" s="264">
        <v>46342421.855087243</v>
      </c>
      <c r="Q363" s="266">
        <v>0.38039636901981844</v>
      </c>
      <c r="R363" s="216">
        <v>0.56562192828109636</v>
      </c>
      <c r="S363" s="216">
        <v>2.6556051327802567E-2</v>
      </c>
      <c r="T363" s="218">
        <v>2.742465137123257E-2</v>
      </c>
      <c r="U363" s="1"/>
    </row>
    <row r="364" spans="2:21" ht="12.5" x14ac:dyDescent="0.25">
      <c r="B364" s="40" t="s">
        <v>468</v>
      </c>
      <c r="C364" s="41" t="s">
        <v>179</v>
      </c>
      <c r="D364" s="219" t="s">
        <v>86</v>
      </c>
      <c r="E364" s="229" t="s">
        <v>348</v>
      </c>
      <c r="F364" s="52" t="s">
        <v>23</v>
      </c>
      <c r="G364" s="52" t="s">
        <v>181</v>
      </c>
      <c r="H364" s="53">
        <v>43964</v>
      </c>
      <c r="I364" s="204">
        <v>10.5</v>
      </c>
      <c r="J364" s="233">
        <v>43966</v>
      </c>
      <c r="K364" s="264">
        <v>1104</v>
      </c>
      <c r="L364" s="264">
        <v>1178</v>
      </c>
      <c r="M364" s="265">
        <v>300300000</v>
      </c>
      <c r="N364" s="265">
        <v>0</v>
      </c>
      <c r="O364" s="265">
        <v>300300000</v>
      </c>
      <c r="P364" s="264">
        <v>51572240.636109158</v>
      </c>
      <c r="Q364" s="266">
        <v>9.9578321678321674E-2</v>
      </c>
      <c r="R364" s="216">
        <v>0.43811605351170568</v>
      </c>
      <c r="S364" s="216">
        <v>6.0833079963514745E-2</v>
      </c>
      <c r="T364" s="218">
        <v>0.40147254484645789</v>
      </c>
      <c r="U364" s="1"/>
    </row>
    <row r="365" spans="2:21" ht="12.5" x14ac:dyDescent="0.25">
      <c r="B365" s="40" t="s">
        <v>444</v>
      </c>
      <c r="C365" s="41" t="s">
        <v>179</v>
      </c>
      <c r="D365" s="219" t="s">
        <v>145</v>
      </c>
      <c r="E365" s="229" t="s">
        <v>190</v>
      </c>
      <c r="F365" s="52" t="s">
        <v>24</v>
      </c>
      <c r="G365" s="52" t="s">
        <v>412</v>
      </c>
      <c r="H365" s="53">
        <v>43977</v>
      </c>
      <c r="I365" s="204">
        <v>30</v>
      </c>
      <c r="J365" s="233">
        <v>43990</v>
      </c>
      <c r="K365" s="264">
        <v>344</v>
      </c>
      <c r="L365" s="264">
        <v>770</v>
      </c>
      <c r="M365" s="265">
        <v>900000000</v>
      </c>
      <c r="N365" s="265">
        <v>0</v>
      </c>
      <c r="O365" s="265">
        <v>900000000</v>
      </c>
      <c r="P365" s="264">
        <v>182441061.4015528</v>
      </c>
      <c r="Q365" s="266">
        <v>2.1158333333333333E-3</v>
      </c>
      <c r="R365" s="216">
        <v>0.67652143333333337</v>
      </c>
      <c r="S365" s="216">
        <v>0.31601646666666666</v>
      </c>
      <c r="T365" s="218">
        <v>5.3462666666666669E-3</v>
      </c>
      <c r="U365" s="1"/>
    </row>
    <row r="366" spans="2:21" ht="12.5" x14ac:dyDescent="0.25">
      <c r="B366" s="40" t="s">
        <v>406</v>
      </c>
      <c r="C366" s="41" t="s">
        <v>179</v>
      </c>
      <c r="D366" s="219" t="s">
        <v>151</v>
      </c>
      <c r="E366" s="229" t="s">
        <v>190</v>
      </c>
      <c r="F366" s="52" t="s">
        <v>24</v>
      </c>
      <c r="G366" s="52" t="s">
        <v>412</v>
      </c>
      <c r="H366" s="53">
        <v>43997</v>
      </c>
      <c r="I366" s="204">
        <v>15</v>
      </c>
      <c r="J366" s="233">
        <v>43999</v>
      </c>
      <c r="K366" s="264">
        <v>0</v>
      </c>
      <c r="L366" s="264">
        <v>14556</v>
      </c>
      <c r="M366" s="265">
        <v>4455000000</v>
      </c>
      <c r="N366" s="265">
        <v>0</v>
      </c>
      <c r="O366" s="265">
        <v>4455000000</v>
      </c>
      <c r="P366" s="264">
        <v>848587592.14461219</v>
      </c>
      <c r="Q366" s="266">
        <v>7.9124579124579126E-5</v>
      </c>
      <c r="R366" s="216">
        <v>0.4090659158249158</v>
      </c>
      <c r="S366" s="216">
        <v>0.27761075084175085</v>
      </c>
      <c r="T366" s="218">
        <v>0.31324420875420877</v>
      </c>
      <c r="U366" s="1"/>
    </row>
    <row r="367" spans="2:21" ht="12.5" x14ac:dyDescent="0.25">
      <c r="B367" s="40" t="s">
        <v>445</v>
      </c>
      <c r="C367" s="41" t="s">
        <v>184</v>
      </c>
      <c r="D367" s="219" t="s">
        <v>72</v>
      </c>
      <c r="E367" s="229" t="s">
        <v>348</v>
      </c>
      <c r="F367" s="52" t="s">
        <v>24</v>
      </c>
      <c r="G367" s="52" t="s">
        <v>412</v>
      </c>
      <c r="H367" s="53">
        <v>44011</v>
      </c>
      <c r="I367" s="204">
        <v>24.8</v>
      </c>
      <c r="J367" s="233">
        <v>44013</v>
      </c>
      <c r="K367" s="264">
        <v>0</v>
      </c>
      <c r="L367" s="264">
        <v>2556</v>
      </c>
      <c r="M367" s="265">
        <v>2650500000</v>
      </c>
      <c r="N367" s="265">
        <v>0</v>
      </c>
      <c r="O367" s="265">
        <v>2650500000</v>
      </c>
      <c r="P367" s="264">
        <v>494026206.40808189</v>
      </c>
      <c r="Q367" s="266">
        <v>8.1403508771929825E-5</v>
      </c>
      <c r="R367" s="216">
        <v>0.48391056842105268</v>
      </c>
      <c r="S367" s="216">
        <v>0.1185880701754386</v>
      </c>
      <c r="T367" s="218">
        <v>0.39741995789473683</v>
      </c>
      <c r="U367" s="1"/>
    </row>
    <row r="368" spans="2:21" ht="12.5" x14ac:dyDescent="0.25">
      <c r="B368" s="40" t="s">
        <v>469</v>
      </c>
      <c r="C368" s="41" t="s">
        <v>240</v>
      </c>
      <c r="D368" s="219" t="s">
        <v>152</v>
      </c>
      <c r="E368" s="229" t="s">
        <v>202</v>
      </c>
      <c r="F368" s="52" t="s">
        <v>23</v>
      </c>
      <c r="G368" s="52" t="s">
        <v>412</v>
      </c>
      <c r="H368" s="53">
        <v>44014</v>
      </c>
      <c r="I368" s="204">
        <v>820</v>
      </c>
      <c r="J368" s="233">
        <v>44018</v>
      </c>
      <c r="K368" s="264">
        <v>0</v>
      </c>
      <c r="L368" s="264">
        <v>120</v>
      </c>
      <c r="M368" s="265">
        <v>301753440</v>
      </c>
      <c r="N368" s="265">
        <v>560739780</v>
      </c>
      <c r="O368" s="265">
        <v>862493220</v>
      </c>
      <c r="P368" s="264">
        <v>162473998.30460581</v>
      </c>
      <c r="Q368" s="266">
        <v>1.8064872764584901E-4</v>
      </c>
      <c r="R368" s="216">
        <v>0.81068826261989435</v>
      </c>
      <c r="S368" s="216">
        <v>0.18482261649810636</v>
      </c>
      <c r="T368" s="218">
        <v>4.3355694635003762E-3</v>
      </c>
      <c r="U368" s="1"/>
    </row>
    <row r="369" spans="2:21" ht="12.5" x14ac:dyDescent="0.25">
      <c r="B369" s="40" t="s">
        <v>280</v>
      </c>
      <c r="C369" s="41" t="s">
        <v>179</v>
      </c>
      <c r="D369" s="219" t="s">
        <v>87</v>
      </c>
      <c r="E369" s="229" t="s">
        <v>348</v>
      </c>
      <c r="F369" s="52" t="s">
        <v>24</v>
      </c>
      <c r="G369" s="52" t="s">
        <v>412</v>
      </c>
      <c r="H369" s="53">
        <v>44027</v>
      </c>
      <c r="I369" s="204">
        <v>9.75</v>
      </c>
      <c r="J369" s="233">
        <v>44029</v>
      </c>
      <c r="K369" s="264">
        <v>0</v>
      </c>
      <c r="L369" s="264">
        <v>2687</v>
      </c>
      <c r="M369" s="265">
        <v>399750000</v>
      </c>
      <c r="N369" s="265">
        <v>33422512.5</v>
      </c>
      <c r="O369" s="265">
        <v>433172512.5</v>
      </c>
      <c r="P369" s="264">
        <v>80951693.608671278</v>
      </c>
      <c r="Q369" s="266">
        <v>0</v>
      </c>
      <c r="R369" s="216">
        <v>0.84487560195777656</v>
      </c>
      <c r="S369" s="216">
        <v>0.10616150418824186</v>
      </c>
      <c r="T369" s="218">
        <v>4.8962893853981559E-2</v>
      </c>
      <c r="U369" s="1"/>
    </row>
    <row r="370" spans="2:21" ht="12.5" x14ac:dyDescent="0.25">
      <c r="B370" s="40" t="s">
        <v>470</v>
      </c>
      <c r="C370" s="41" t="s">
        <v>189</v>
      </c>
      <c r="D370" s="219" t="s">
        <v>145</v>
      </c>
      <c r="E370" s="229" t="s">
        <v>348</v>
      </c>
      <c r="F370" s="52" t="s">
        <v>24</v>
      </c>
      <c r="G370" s="52" t="s">
        <v>412</v>
      </c>
      <c r="H370" s="53">
        <v>44026</v>
      </c>
      <c r="I370" s="204">
        <v>32.402222222222221</v>
      </c>
      <c r="J370" s="233">
        <v>44028</v>
      </c>
      <c r="K370" s="264">
        <v>0</v>
      </c>
      <c r="L370" s="264">
        <v>2073</v>
      </c>
      <c r="M370" s="265">
        <v>7873740000</v>
      </c>
      <c r="N370" s="265">
        <v>0</v>
      </c>
      <c r="O370" s="265">
        <v>7873740000</v>
      </c>
      <c r="P370" s="264">
        <v>1470078416.7289021</v>
      </c>
      <c r="Q370" s="266">
        <v>0</v>
      </c>
      <c r="R370" s="216">
        <v>0.3546143251028806</v>
      </c>
      <c r="S370" s="216">
        <v>0.18156418930041152</v>
      </c>
      <c r="T370" s="218">
        <v>0.46382148559670777</v>
      </c>
      <c r="U370" s="1"/>
    </row>
    <row r="371" spans="2:21" ht="12.5" x14ac:dyDescent="0.25">
      <c r="B371" s="40" t="s">
        <v>471</v>
      </c>
      <c r="C371" s="41" t="s">
        <v>179</v>
      </c>
      <c r="D371" s="219" t="s">
        <v>67</v>
      </c>
      <c r="E371" s="229" t="s">
        <v>190</v>
      </c>
      <c r="F371" s="52" t="s">
        <v>23</v>
      </c>
      <c r="G371" s="52" t="s">
        <v>181</v>
      </c>
      <c r="H371" s="53">
        <v>44021</v>
      </c>
      <c r="I371" s="204">
        <v>24.75</v>
      </c>
      <c r="J371" s="233">
        <v>44025</v>
      </c>
      <c r="K371" s="264">
        <v>5287</v>
      </c>
      <c r="L371" s="264">
        <v>5798</v>
      </c>
      <c r="M371" s="265">
        <v>1082400016.5</v>
      </c>
      <c r="N371" s="265">
        <v>0</v>
      </c>
      <c r="O371" s="265">
        <v>1082400016.5</v>
      </c>
      <c r="P371" s="264">
        <v>202370716.9165763</v>
      </c>
      <c r="Q371" s="266">
        <v>9.7165676872474432E-2</v>
      </c>
      <c r="R371" s="216">
        <v>0.59682831407273906</v>
      </c>
      <c r="S371" s="216">
        <v>0.30303731245369953</v>
      </c>
      <c r="T371" s="218">
        <v>2.9686966010869422E-3</v>
      </c>
      <c r="U371" s="1"/>
    </row>
    <row r="372" spans="2:21" ht="12.5" x14ac:dyDescent="0.25">
      <c r="B372" s="40" t="s">
        <v>437</v>
      </c>
      <c r="C372" s="41" t="s">
        <v>179</v>
      </c>
      <c r="D372" s="219" t="s">
        <v>123</v>
      </c>
      <c r="E372" s="229" t="s">
        <v>348</v>
      </c>
      <c r="F372" s="52" t="s">
        <v>24</v>
      </c>
      <c r="G372" s="52" t="s">
        <v>412</v>
      </c>
      <c r="H372" s="53">
        <v>44033</v>
      </c>
      <c r="I372" s="204">
        <v>4.25</v>
      </c>
      <c r="J372" s="233">
        <v>44035</v>
      </c>
      <c r="K372" s="264">
        <v>0</v>
      </c>
      <c r="L372" s="264">
        <v>1766</v>
      </c>
      <c r="M372" s="265">
        <v>384412500</v>
      </c>
      <c r="N372" s="265">
        <v>0</v>
      </c>
      <c r="O372" s="265">
        <v>384412500</v>
      </c>
      <c r="P372" s="264">
        <v>74430751.060080931</v>
      </c>
      <c r="Q372" s="266">
        <v>0</v>
      </c>
      <c r="R372" s="216">
        <v>0.71300042012161413</v>
      </c>
      <c r="S372" s="216">
        <v>9.4527363184079602E-2</v>
      </c>
      <c r="T372" s="218">
        <v>0.19247221669430625</v>
      </c>
      <c r="U372" s="1"/>
    </row>
    <row r="373" spans="2:21" ht="12.5" x14ac:dyDescent="0.25">
      <c r="B373" s="40" t="s">
        <v>472</v>
      </c>
      <c r="C373" s="41" t="s">
        <v>210</v>
      </c>
      <c r="D373" s="219" t="s">
        <v>153</v>
      </c>
      <c r="E373" s="229" t="s">
        <v>348</v>
      </c>
      <c r="F373" s="52" t="s">
        <v>24</v>
      </c>
      <c r="G373" s="52" t="s">
        <v>412</v>
      </c>
      <c r="H373" s="53">
        <v>44034</v>
      </c>
      <c r="I373" s="204">
        <v>4.5</v>
      </c>
      <c r="J373" s="233">
        <v>44036</v>
      </c>
      <c r="K373" s="264">
        <v>0</v>
      </c>
      <c r="L373" s="264">
        <v>105</v>
      </c>
      <c r="M373" s="265">
        <v>405000000</v>
      </c>
      <c r="N373" s="265">
        <v>0</v>
      </c>
      <c r="O373" s="265">
        <v>405000000</v>
      </c>
      <c r="P373" s="264">
        <v>77666551.605108738</v>
      </c>
      <c r="Q373" s="266">
        <v>4.4944444444444441E-3</v>
      </c>
      <c r="R373" s="216">
        <v>0.76062677777777776</v>
      </c>
      <c r="S373" s="216">
        <v>0.23</v>
      </c>
      <c r="T373" s="218">
        <v>4.8787777777777779E-3</v>
      </c>
      <c r="U373" s="1"/>
    </row>
    <row r="374" spans="2:21" ht="12.5" x14ac:dyDescent="0.25">
      <c r="B374" s="40" t="s">
        <v>473</v>
      </c>
      <c r="C374" s="41" t="s">
        <v>210</v>
      </c>
      <c r="D374" s="219" t="s">
        <v>133</v>
      </c>
      <c r="E374" s="229" t="s">
        <v>190</v>
      </c>
      <c r="F374" s="52" t="s">
        <v>24</v>
      </c>
      <c r="G374" s="52" t="s">
        <v>412</v>
      </c>
      <c r="H374" s="53">
        <v>44034</v>
      </c>
      <c r="I374" s="204">
        <v>30</v>
      </c>
      <c r="J374" s="233">
        <v>44036</v>
      </c>
      <c r="K374" s="264">
        <v>0</v>
      </c>
      <c r="L374" s="264">
        <v>809</v>
      </c>
      <c r="M374" s="265">
        <v>480000000</v>
      </c>
      <c r="N374" s="265">
        <v>556713360</v>
      </c>
      <c r="O374" s="265">
        <v>1036713360</v>
      </c>
      <c r="P374" s="264">
        <v>198809757.22011277</v>
      </c>
      <c r="Q374" s="266">
        <v>0</v>
      </c>
      <c r="R374" s="216">
        <v>0.5578050040755721</v>
      </c>
      <c r="S374" s="216">
        <v>0.41091396757923521</v>
      </c>
      <c r="T374" s="218">
        <v>3.1281028345192738E-2</v>
      </c>
      <c r="U374" s="1"/>
    </row>
    <row r="375" spans="2:21" ht="12.5" x14ac:dyDescent="0.25">
      <c r="B375" s="40" t="s">
        <v>474</v>
      </c>
      <c r="C375" s="41" t="s">
        <v>179</v>
      </c>
      <c r="D375" s="219" t="s">
        <v>143</v>
      </c>
      <c r="E375" s="229" t="s">
        <v>204</v>
      </c>
      <c r="F375" s="52" t="s">
        <v>23</v>
      </c>
      <c r="G375" s="52" t="s">
        <v>181</v>
      </c>
      <c r="H375" s="53">
        <v>44041</v>
      </c>
      <c r="I375" s="204">
        <v>9.9</v>
      </c>
      <c r="J375" s="233">
        <v>44043</v>
      </c>
      <c r="K375" s="264">
        <v>6726</v>
      </c>
      <c r="L375" s="264">
        <v>7229</v>
      </c>
      <c r="M375" s="265">
        <v>1349999996.4000001</v>
      </c>
      <c r="N375" s="265">
        <v>472499992.80000001</v>
      </c>
      <c r="O375" s="265">
        <v>1822499989.2</v>
      </c>
      <c r="P375" s="264">
        <v>350258487.72894126</v>
      </c>
      <c r="Q375" s="266">
        <v>0.13093826447963416</v>
      </c>
      <c r="R375" s="216">
        <v>0.71711512227426233</v>
      </c>
      <c r="S375" s="216">
        <v>0.14826382408847699</v>
      </c>
      <c r="T375" s="218">
        <v>3.6827891576264051E-3</v>
      </c>
      <c r="U375" s="1"/>
    </row>
    <row r="376" spans="2:21" ht="12.5" x14ac:dyDescent="0.25">
      <c r="B376" s="40" t="s">
        <v>475</v>
      </c>
      <c r="C376" s="41" t="s">
        <v>179</v>
      </c>
      <c r="D376" s="219" t="s">
        <v>133</v>
      </c>
      <c r="E376" s="219" t="s">
        <v>457</v>
      </c>
      <c r="F376" s="19" t="s">
        <v>23</v>
      </c>
      <c r="G376" s="19" t="s">
        <v>181</v>
      </c>
      <c r="H376" s="20">
        <v>44049</v>
      </c>
      <c r="I376" s="193">
        <v>17</v>
      </c>
      <c r="J376" s="194">
        <v>44053</v>
      </c>
      <c r="K376" s="195">
        <v>6213</v>
      </c>
      <c r="L376" s="195">
        <v>6526</v>
      </c>
      <c r="M376" s="196">
        <v>400115485</v>
      </c>
      <c r="N376" s="196">
        <v>0</v>
      </c>
      <c r="O376" s="196">
        <v>400115485</v>
      </c>
      <c r="P376" s="195">
        <v>74187507.648378551</v>
      </c>
      <c r="Q376" s="197">
        <v>0.31911968369913735</v>
      </c>
      <c r="R376" s="163">
        <v>0.59082652867635743</v>
      </c>
      <c r="S376" s="163">
        <v>6.9918443870100586E-2</v>
      </c>
      <c r="T376" s="164">
        <v>2.0135343754404639E-2</v>
      </c>
      <c r="U376" s="1"/>
    </row>
    <row r="377" spans="2:21" ht="12.5" x14ac:dyDescent="0.25">
      <c r="B377" s="40" t="s">
        <v>476</v>
      </c>
      <c r="C377" s="41" t="s">
        <v>179</v>
      </c>
      <c r="D377" s="219" t="s">
        <v>145</v>
      </c>
      <c r="E377" s="219" t="s">
        <v>348</v>
      </c>
      <c r="F377" s="19" t="s">
        <v>23</v>
      </c>
      <c r="G377" s="19" t="s">
        <v>181</v>
      </c>
      <c r="H377" s="20">
        <v>44049</v>
      </c>
      <c r="I377" s="193">
        <v>12.65</v>
      </c>
      <c r="J377" s="194">
        <v>44053</v>
      </c>
      <c r="K377" s="195">
        <v>10049</v>
      </c>
      <c r="L377" s="195">
        <v>10844</v>
      </c>
      <c r="M377" s="196">
        <v>279867259.10000002</v>
      </c>
      <c r="N377" s="196">
        <v>1951899022.7</v>
      </c>
      <c r="O377" s="196">
        <v>2231766281.8000002</v>
      </c>
      <c r="P377" s="195">
        <v>413803475.01529682</v>
      </c>
      <c r="Q377" s="197">
        <v>9.8577852794944049E-2</v>
      </c>
      <c r="R377" s="163">
        <v>0.54763831395205553</v>
      </c>
      <c r="S377" s="163">
        <v>0.34977499573584603</v>
      </c>
      <c r="T377" s="164">
        <v>4.0088375171543926E-3</v>
      </c>
      <c r="U377" s="1"/>
    </row>
    <row r="378" spans="2:21" ht="12.5" x14ac:dyDescent="0.25">
      <c r="B378" s="40" t="s">
        <v>436</v>
      </c>
      <c r="C378" s="41" t="s">
        <v>179</v>
      </c>
      <c r="D378" s="219" t="s">
        <v>142</v>
      </c>
      <c r="E378" s="219" t="s">
        <v>190</v>
      </c>
      <c r="F378" s="19" t="s">
        <v>24</v>
      </c>
      <c r="G378" s="19" t="s">
        <v>412</v>
      </c>
      <c r="H378" s="20">
        <v>44067</v>
      </c>
      <c r="I378" s="193">
        <v>21.75</v>
      </c>
      <c r="J378" s="194">
        <v>44069</v>
      </c>
      <c r="K378" s="195">
        <v>0</v>
      </c>
      <c r="L378" s="195">
        <v>2532</v>
      </c>
      <c r="M378" s="196">
        <v>6400000009.5</v>
      </c>
      <c r="N378" s="196">
        <v>0</v>
      </c>
      <c r="O378" s="196">
        <v>6400000009.5</v>
      </c>
      <c r="P378" s="195">
        <v>1149425289.0625</v>
      </c>
      <c r="Q378" s="197">
        <v>0</v>
      </c>
      <c r="R378" s="163">
        <v>0.18270018324442941</v>
      </c>
      <c r="S378" s="163">
        <v>0.17226679661929148</v>
      </c>
      <c r="T378" s="164">
        <v>0.64503302013627906</v>
      </c>
      <c r="U378" s="1"/>
    </row>
    <row r="379" spans="2:21" ht="12.5" x14ac:dyDescent="0.25">
      <c r="B379" s="40" t="s">
        <v>450</v>
      </c>
      <c r="C379" s="41" t="s">
        <v>184</v>
      </c>
      <c r="D379" s="219" t="s">
        <v>72</v>
      </c>
      <c r="E379" s="219" t="s">
        <v>190</v>
      </c>
      <c r="F379" s="19" t="s">
        <v>24</v>
      </c>
      <c r="G379" s="19" t="s">
        <v>412</v>
      </c>
      <c r="H379" s="20">
        <v>44077</v>
      </c>
      <c r="I379" s="193">
        <v>20.83</v>
      </c>
      <c r="J379" s="194">
        <v>44082</v>
      </c>
      <c r="K379" s="195">
        <v>0</v>
      </c>
      <c r="L379" s="195">
        <v>802</v>
      </c>
      <c r="M379" s="196">
        <v>1166248787</v>
      </c>
      <c r="N379" s="196">
        <v>0</v>
      </c>
      <c r="O379" s="196">
        <v>1166248787</v>
      </c>
      <c r="P379" s="195">
        <v>217186633.95284742</v>
      </c>
      <c r="Q379" s="197">
        <v>0</v>
      </c>
      <c r="R379" s="163">
        <v>0.44113518929644979</v>
      </c>
      <c r="S379" s="163">
        <v>0.22581022309779258</v>
      </c>
      <c r="T379" s="164">
        <v>0.33305458760575751</v>
      </c>
      <c r="U379" s="1"/>
    </row>
    <row r="380" spans="2:21" ht="12.5" x14ac:dyDescent="0.25">
      <c r="B380" s="40" t="s">
        <v>427</v>
      </c>
      <c r="C380" s="41" t="s">
        <v>179</v>
      </c>
      <c r="D380" s="219" t="s">
        <v>131</v>
      </c>
      <c r="E380" s="219" t="s">
        <v>204</v>
      </c>
      <c r="F380" s="19" t="s">
        <v>24</v>
      </c>
      <c r="G380" s="19" t="s">
        <v>412</v>
      </c>
      <c r="H380" s="20">
        <v>44075</v>
      </c>
      <c r="I380" s="193">
        <v>38.25</v>
      </c>
      <c r="J380" s="194">
        <v>44077</v>
      </c>
      <c r="K380" s="195">
        <v>141</v>
      </c>
      <c r="L380" s="195">
        <v>382</v>
      </c>
      <c r="M380" s="196">
        <v>896963532.75</v>
      </c>
      <c r="N380" s="196">
        <v>0</v>
      </c>
      <c r="O380" s="196">
        <v>896963532.75</v>
      </c>
      <c r="P380" s="195">
        <v>168986516.84281918</v>
      </c>
      <c r="Q380" s="197">
        <v>4.7552184055054607E-4</v>
      </c>
      <c r="R380" s="163">
        <v>0.60618791611625866</v>
      </c>
      <c r="S380" s="163">
        <v>0.38317384453331332</v>
      </c>
      <c r="T380" s="164">
        <v>1.0162717509877494E-2</v>
      </c>
      <c r="U380" s="1"/>
    </row>
    <row r="381" spans="2:21" ht="12.5" x14ac:dyDescent="0.25">
      <c r="B381" s="40" t="s">
        <v>477</v>
      </c>
      <c r="C381" s="41" t="s">
        <v>179</v>
      </c>
      <c r="D381" s="219" t="s">
        <v>87</v>
      </c>
      <c r="E381" s="219" t="s">
        <v>348</v>
      </c>
      <c r="F381" s="19" t="s">
        <v>23</v>
      </c>
      <c r="G381" s="19" t="s">
        <v>181</v>
      </c>
      <c r="H381" s="20">
        <v>44074</v>
      </c>
      <c r="I381" s="193">
        <v>9.5</v>
      </c>
      <c r="J381" s="194">
        <v>44076</v>
      </c>
      <c r="K381" s="195">
        <v>1392</v>
      </c>
      <c r="L381" s="195">
        <v>1633</v>
      </c>
      <c r="M381" s="196">
        <v>1027064000</v>
      </c>
      <c r="N381" s="196">
        <v>0</v>
      </c>
      <c r="O381" s="196">
        <v>1027064000</v>
      </c>
      <c r="P381" s="195">
        <v>191113674.8478815</v>
      </c>
      <c r="Q381" s="197">
        <v>0.15468951282639321</v>
      </c>
      <c r="R381" s="163">
        <v>0.71497606722799201</v>
      </c>
      <c r="S381" s="163">
        <v>0.12948795170854766</v>
      </c>
      <c r="T381" s="164">
        <v>8.4646823706712967E-4</v>
      </c>
      <c r="U381" s="1"/>
    </row>
    <row r="382" spans="2:21" ht="12.5" x14ac:dyDescent="0.25">
      <c r="B382" s="40" t="s">
        <v>478</v>
      </c>
      <c r="C382" s="41" t="s">
        <v>179</v>
      </c>
      <c r="D382" s="219" t="s">
        <v>133</v>
      </c>
      <c r="E382" s="219" t="s">
        <v>204</v>
      </c>
      <c r="F382" s="19" t="s">
        <v>23</v>
      </c>
      <c r="G382" s="19" t="s">
        <v>181</v>
      </c>
      <c r="H382" s="20">
        <v>44074</v>
      </c>
      <c r="I382" s="193">
        <v>8.5</v>
      </c>
      <c r="J382" s="194">
        <v>44076</v>
      </c>
      <c r="K382" s="195">
        <v>10193</v>
      </c>
      <c r="L382" s="195">
        <v>10569</v>
      </c>
      <c r="M382" s="196">
        <v>858963097</v>
      </c>
      <c r="N382" s="196">
        <v>0</v>
      </c>
      <c r="O382" s="196">
        <v>858963097</v>
      </c>
      <c r="P382" s="195">
        <v>159833850.69127852</v>
      </c>
      <c r="Q382" s="197">
        <v>9.5005791034582718E-2</v>
      </c>
      <c r="R382" s="163">
        <v>0.2850157106341904</v>
      </c>
      <c r="S382" s="163">
        <v>0.48223761119274255</v>
      </c>
      <c r="T382" s="164">
        <v>0.13774088713848437</v>
      </c>
      <c r="U382" s="1"/>
    </row>
    <row r="383" spans="2:21" ht="12.5" x14ac:dyDescent="0.25">
      <c r="B383" s="40" t="s">
        <v>451</v>
      </c>
      <c r="C383" s="41" t="s">
        <v>189</v>
      </c>
      <c r="D383" s="219" t="s">
        <v>72</v>
      </c>
      <c r="E383" s="219" t="s">
        <v>348</v>
      </c>
      <c r="F383" s="19" t="s">
        <v>24</v>
      </c>
      <c r="G383" s="19" t="s">
        <v>412</v>
      </c>
      <c r="H383" s="20">
        <v>44070</v>
      </c>
      <c r="I383" s="193">
        <v>8.3000000000000007</v>
      </c>
      <c r="J383" s="194">
        <v>44074</v>
      </c>
      <c r="K383" s="195">
        <v>0</v>
      </c>
      <c r="L383" s="195">
        <v>46</v>
      </c>
      <c r="M383" s="196">
        <v>0</v>
      </c>
      <c r="N383" s="196">
        <v>743677219.50000012</v>
      </c>
      <c r="O383" s="196">
        <v>743677219.50000012</v>
      </c>
      <c r="P383" s="195">
        <v>135923312.4668726</v>
      </c>
      <c r="Q383" s="197">
        <v>0</v>
      </c>
      <c r="R383" s="163">
        <v>0.28551357865009874</v>
      </c>
      <c r="S383" s="163">
        <v>0.24573466876243341</v>
      </c>
      <c r="T383" s="164">
        <v>0.46875175258746782</v>
      </c>
      <c r="U383" s="1"/>
    </row>
    <row r="384" spans="2:21" ht="12.5" x14ac:dyDescent="0.25">
      <c r="B384" s="40" t="s">
        <v>479</v>
      </c>
      <c r="C384" s="41" t="s">
        <v>179</v>
      </c>
      <c r="D384" s="219" t="s">
        <v>145</v>
      </c>
      <c r="E384" s="219" t="s">
        <v>204</v>
      </c>
      <c r="F384" s="19" t="s">
        <v>23</v>
      </c>
      <c r="G384" s="19" t="s">
        <v>181</v>
      </c>
      <c r="H384" s="20">
        <v>44144</v>
      </c>
      <c r="I384" s="193">
        <v>13.75</v>
      </c>
      <c r="J384" s="194">
        <v>44085</v>
      </c>
      <c r="K384" s="195">
        <v>37928</v>
      </c>
      <c r="L384" s="195">
        <v>39168</v>
      </c>
      <c r="M384" s="196">
        <v>336734695</v>
      </c>
      <c r="N384" s="196">
        <v>2693877532.5</v>
      </c>
      <c r="O384" s="196">
        <v>3030612227.5</v>
      </c>
      <c r="P384" s="195">
        <v>573393163.71513987</v>
      </c>
      <c r="Q384" s="197">
        <v>0.12573764396256795</v>
      </c>
      <c r="R384" s="163">
        <v>0.59226017228890104</v>
      </c>
      <c r="S384" s="163">
        <v>0.27607715815896144</v>
      </c>
      <c r="T384" s="164">
        <v>5.9250255895695915E-3</v>
      </c>
      <c r="U384" s="1"/>
    </row>
    <row r="385" spans="2:21" ht="12.5" x14ac:dyDescent="0.25">
      <c r="B385" s="40" t="s">
        <v>480</v>
      </c>
      <c r="C385" s="41" t="s">
        <v>179</v>
      </c>
      <c r="D385" s="219" t="s">
        <v>145</v>
      </c>
      <c r="E385" s="219" t="s">
        <v>204</v>
      </c>
      <c r="F385" s="19" t="s">
        <v>23</v>
      </c>
      <c r="G385" s="19" t="s">
        <v>181</v>
      </c>
      <c r="H385" s="20">
        <v>44089</v>
      </c>
      <c r="I385" s="193">
        <v>9.4</v>
      </c>
      <c r="J385" s="194">
        <v>44091</v>
      </c>
      <c r="K385" s="195">
        <v>613</v>
      </c>
      <c r="L385" s="195">
        <v>708</v>
      </c>
      <c r="M385" s="196">
        <v>40006400</v>
      </c>
      <c r="N385" s="196">
        <v>593415420</v>
      </c>
      <c r="O385" s="196">
        <v>633421820</v>
      </c>
      <c r="P385" s="195">
        <v>120438427.1671135</v>
      </c>
      <c r="Q385" s="197">
        <v>6.2766628748918668E-2</v>
      </c>
      <c r="R385" s="163">
        <v>0.80233199599479599</v>
      </c>
      <c r="S385" s="163">
        <v>0.13486516494220382</v>
      </c>
      <c r="T385" s="164">
        <v>3.6210314081561757E-5</v>
      </c>
      <c r="U385" s="1"/>
    </row>
    <row r="386" spans="2:21" ht="12.5" x14ac:dyDescent="0.25">
      <c r="B386" s="40" t="s">
        <v>481</v>
      </c>
      <c r="C386" s="41" t="s">
        <v>179</v>
      </c>
      <c r="D386" s="219" t="s">
        <v>108</v>
      </c>
      <c r="E386" s="219" t="s">
        <v>457</v>
      </c>
      <c r="F386" s="19" t="s">
        <v>24</v>
      </c>
      <c r="G386" s="19" t="s">
        <v>412</v>
      </c>
      <c r="H386" s="20">
        <v>44082</v>
      </c>
      <c r="I386" s="193">
        <v>9.6</v>
      </c>
      <c r="J386" s="194">
        <v>44084</v>
      </c>
      <c r="K386" s="195">
        <v>1819</v>
      </c>
      <c r="L386" s="195">
        <v>2144</v>
      </c>
      <c r="M386" s="196">
        <v>763020844.79999995</v>
      </c>
      <c r="N386" s="196">
        <v>0</v>
      </c>
      <c r="O386" s="196">
        <v>763020844.79999995</v>
      </c>
      <c r="P386" s="195">
        <v>144140253.28698805</v>
      </c>
      <c r="Q386" s="197">
        <v>1.2636702215556565E-2</v>
      </c>
      <c r="R386" s="163">
        <v>0.38860168659968963</v>
      </c>
      <c r="S386" s="163">
        <v>0.48416970534642984</v>
      </c>
      <c r="T386" s="164">
        <v>0.11459190583832396</v>
      </c>
      <c r="U386" s="1"/>
    </row>
    <row r="387" spans="2:21" ht="12.5" x14ac:dyDescent="0.25">
      <c r="B387" s="40" t="s">
        <v>482</v>
      </c>
      <c r="C387" s="41" t="s">
        <v>179</v>
      </c>
      <c r="D387" s="219" t="s">
        <v>104</v>
      </c>
      <c r="E387" s="219" t="s">
        <v>348</v>
      </c>
      <c r="F387" s="19" t="s">
        <v>24</v>
      </c>
      <c r="G387" s="19" t="s">
        <v>412</v>
      </c>
      <c r="H387" s="20">
        <v>44098</v>
      </c>
      <c r="I387" s="193">
        <v>4.0999999999999996</v>
      </c>
      <c r="J387" s="194">
        <v>44102</v>
      </c>
      <c r="K387" s="195">
        <v>0</v>
      </c>
      <c r="L387" s="195">
        <v>2244</v>
      </c>
      <c r="M387" s="196">
        <v>789987999.99999988</v>
      </c>
      <c r="N387" s="196">
        <v>0</v>
      </c>
      <c r="O387" s="196">
        <v>789987999.99999988</v>
      </c>
      <c r="P387" s="195">
        <v>141793445.09459022</v>
      </c>
      <c r="Q387" s="197">
        <v>1.9690678845754621E-3</v>
      </c>
      <c r="R387" s="163">
        <v>0.81119014947062495</v>
      </c>
      <c r="S387" s="163">
        <v>9.3107743408760657E-2</v>
      </c>
      <c r="T387" s="164">
        <v>9.3733039236039026E-2</v>
      </c>
      <c r="U387" s="1"/>
    </row>
    <row r="388" spans="2:21" ht="12.5" x14ac:dyDescent="0.25">
      <c r="B388" s="40" t="s">
        <v>483</v>
      </c>
      <c r="C388" s="41" t="s">
        <v>179</v>
      </c>
      <c r="D388" s="219" t="s">
        <v>145</v>
      </c>
      <c r="E388" s="219" t="s">
        <v>348</v>
      </c>
      <c r="F388" s="19" t="s">
        <v>23</v>
      </c>
      <c r="G388" s="19" t="s">
        <v>181</v>
      </c>
      <c r="H388" s="20">
        <v>44098</v>
      </c>
      <c r="I388" s="193">
        <v>8.5</v>
      </c>
      <c r="J388" s="194">
        <v>44102</v>
      </c>
      <c r="K388" s="195">
        <v>2034</v>
      </c>
      <c r="L388" s="195">
        <v>2237</v>
      </c>
      <c r="M388" s="196">
        <v>620500000</v>
      </c>
      <c r="N388" s="196">
        <v>27324950</v>
      </c>
      <c r="O388" s="196">
        <v>647824950</v>
      </c>
      <c r="P388" s="195">
        <v>115977111.6044255</v>
      </c>
      <c r="Q388" s="197">
        <v>9.8468421679571178E-2</v>
      </c>
      <c r="R388" s="163">
        <v>0.5916835020845741</v>
      </c>
      <c r="S388" s="163">
        <v>0.29971767718880288</v>
      </c>
      <c r="T388" s="164">
        <v>1.0130399047051817E-2</v>
      </c>
      <c r="U388" s="1"/>
    </row>
    <row r="389" spans="2:21" ht="12.5" x14ac:dyDescent="0.25">
      <c r="B389" s="40" t="s">
        <v>484</v>
      </c>
      <c r="C389" s="41" t="s">
        <v>179</v>
      </c>
      <c r="D389" s="219" t="s">
        <v>107</v>
      </c>
      <c r="E389" s="219" t="s">
        <v>461</v>
      </c>
      <c r="F389" s="19" t="s">
        <v>23</v>
      </c>
      <c r="G389" s="19" t="s">
        <v>181</v>
      </c>
      <c r="H389" s="20">
        <v>44097</v>
      </c>
      <c r="I389" s="193">
        <v>7.56</v>
      </c>
      <c r="J389" s="194">
        <v>44099</v>
      </c>
      <c r="K389" s="195">
        <v>2999</v>
      </c>
      <c r="L389" s="195">
        <v>3359</v>
      </c>
      <c r="M389" s="196">
        <v>0</v>
      </c>
      <c r="N389" s="196">
        <v>3019664869.1999998</v>
      </c>
      <c r="O389" s="196">
        <v>3019664869.1999998</v>
      </c>
      <c r="P389" s="195">
        <v>542451518.70946872</v>
      </c>
      <c r="Q389" s="197">
        <v>0.11786782240205776</v>
      </c>
      <c r="R389" s="163">
        <v>0.52217207995779402</v>
      </c>
      <c r="S389" s="163">
        <v>0.35568626391996866</v>
      </c>
      <c r="T389" s="164">
        <v>4.2738337201795517E-3</v>
      </c>
      <c r="U389" s="1"/>
    </row>
    <row r="390" spans="2:21" ht="12.5" x14ac:dyDescent="0.25">
      <c r="B390" s="40" t="s">
        <v>485</v>
      </c>
      <c r="C390" s="41" t="s">
        <v>179</v>
      </c>
      <c r="D390" s="219" t="s">
        <v>145</v>
      </c>
      <c r="E390" s="219" t="s">
        <v>348</v>
      </c>
      <c r="F390" s="19" t="s">
        <v>23</v>
      </c>
      <c r="G390" s="19" t="s">
        <v>181</v>
      </c>
      <c r="H390" s="20">
        <v>44091</v>
      </c>
      <c r="I390" s="193">
        <v>9.35</v>
      </c>
      <c r="J390" s="194">
        <v>44095</v>
      </c>
      <c r="K390" s="195">
        <v>1140</v>
      </c>
      <c r="L390" s="195">
        <v>1377</v>
      </c>
      <c r="M390" s="196">
        <v>169999998.29999998</v>
      </c>
      <c r="N390" s="196">
        <v>807499996.5999999</v>
      </c>
      <c r="O390" s="196">
        <v>977499994.89999986</v>
      </c>
      <c r="P390" s="195">
        <v>179555472.97942686</v>
      </c>
      <c r="Q390" s="197">
        <v>9.8209301381961572E-2</v>
      </c>
      <c r="R390" s="163">
        <v>0.78759423628310044</v>
      </c>
      <c r="S390" s="163">
        <v>0.11397800233379828</v>
      </c>
      <c r="T390" s="164">
        <v>2.184600011397913E-4</v>
      </c>
      <c r="U390" s="1"/>
    </row>
    <row r="391" spans="2:21" ht="12.5" x14ac:dyDescent="0.25">
      <c r="B391" s="40" t="s">
        <v>486</v>
      </c>
      <c r="C391" s="41" t="s">
        <v>179</v>
      </c>
      <c r="D391" s="219" t="s">
        <v>109</v>
      </c>
      <c r="E391" s="219" t="s">
        <v>487</v>
      </c>
      <c r="F391" s="19" t="s">
        <v>23</v>
      </c>
      <c r="G391" s="19" t="s">
        <v>181</v>
      </c>
      <c r="H391" s="20">
        <v>44102</v>
      </c>
      <c r="I391" s="193">
        <v>12.2</v>
      </c>
      <c r="J391" s="194">
        <v>44104</v>
      </c>
      <c r="K391" s="195">
        <v>1510</v>
      </c>
      <c r="L391" s="195">
        <v>1898</v>
      </c>
      <c r="M391" s="196">
        <v>1299676492</v>
      </c>
      <c r="N391" s="196">
        <v>870065582.19999993</v>
      </c>
      <c r="O391" s="196">
        <v>2169742074.1999998</v>
      </c>
      <c r="P391" s="195">
        <v>384658300.2464233</v>
      </c>
      <c r="Q391" s="197">
        <v>9.689944786525817E-2</v>
      </c>
      <c r="R391" s="163">
        <v>0.28286285337684219</v>
      </c>
      <c r="S391" s="163">
        <v>0.61713605074174949</v>
      </c>
      <c r="T391" s="164">
        <v>2.1713689640908565E-3</v>
      </c>
      <c r="U391" s="1"/>
    </row>
    <row r="392" spans="2:21" ht="12.5" x14ac:dyDescent="0.25">
      <c r="B392" s="40" t="s">
        <v>488</v>
      </c>
      <c r="C392" s="41" t="s">
        <v>179</v>
      </c>
      <c r="D392" s="19" t="s">
        <v>95</v>
      </c>
      <c r="E392" s="219" t="s">
        <v>487</v>
      </c>
      <c r="F392" s="19" t="s">
        <v>24</v>
      </c>
      <c r="G392" s="19" t="s">
        <v>181</v>
      </c>
      <c r="H392" s="20">
        <v>44105</v>
      </c>
      <c r="I392" s="193">
        <v>46</v>
      </c>
      <c r="J392" s="194">
        <v>44109</v>
      </c>
      <c r="K392" s="195">
        <v>1355</v>
      </c>
      <c r="L392" s="195">
        <v>1946</v>
      </c>
      <c r="M392" s="196">
        <v>0</v>
      </c>
      <c r="N392" s="196">
        <v>6910001550</v>
      </c>
      <c r="O392" s="196">
        <v>6910001550</v>
      </c>
      <c r="P392" s="195">
        <v>1227375539.5300093</v>
      </c>
      <c r="Q392" s="197">
        <v>4.5865058597562833E-2</v>
      </c>
      <c r="R392" s="163">
        <v>0.42986197506714019</v>
      </c>
      <c r="S392" s="163">
        <v>0.51725026573981014</v>
      </c>
      <c r="T392" s="164">
        <v>7.0227005954868419E-3</v>
      </c>
      <c r="U392" s="1"/>
    </row>
    <row r="393" spans="2:21" ht="12.5" x14ac:dyDescent="0.25">
      <c r="B393" s="40" t="s">
        <v>489</v>
      </c>
      <c r="C393" s="41" t="s">
        <v>179</v>
      </c>
      <c r="D393" s="219" t="s">
        <v>86</v>
      </c>
      <c r="E393" s="219" t="s">
        <v>348</v>
      </c>
      <c r="F393" s="19" t="s">
        <v>23</v>
      </c>
      <c r="G393" s="19" t="s">
        <v>181</v>
      </c>
      <c r="H393" s="20">
        <v>44109</v>
      </c>
      <c r="I393" s="193">
        <v>12.4</v>
      </c>
      <c r="J393" s="194">
        <v>44111</v>
      </c>
      <c r="K393" s="195">
        <v>572</v>
      </c>
      <c r="L393" s="195">
        <v>705</v>
      </c>
      <c r="M393" s="196">
        <v>348070170</v>
      </c>
      <c r="N393" s="196">
        <v>557787687.20000005</v>
      </c>
      <c r="O393" s="196">
        <v>905857857.20000005</v>
      </c>
      <c r="P393" s="195">
        <v>164089821.06693235</v>
      </c>
      <c r="Q393" s="197">
        <v>3.8005060435304307E-2</v>
      </c>
      <c r="R393" s="163">
        <v>0.26971787093645905</v>
      </c>
      <c r="S393" s="163">
        <v>0.69140133796102299</v>
      </c>
      <c r="T393" s="164">
        <v>8.7573066721363538E-4</v>
      </c>
      <c r="U393" s="1"/>
    </row>
    <row r="394" spans="2:21" ht="12.5" x14ac:dyDescent="0.25">
      <c r="B394" s="40" t="s">
        <v>490</v>
      </c>
      <c r="C394" s="41" t="s">
        <v>179</v>
      </c>
      <c r="D394" s="219" t="s">
        <v>115</v>
      </c>
      <c r="E394" s="219" t="s">
        <v>457</v>
      </c>
      <c r="F394" s="19" t="s">
        <v>23</v>
      </c>
      <c r="G394" s="19" t="s">
        <v>181</v>
      </c>
      <c r="H394" s="20">
        <v>44112</v>
      </c>
      <c r="I394" s="193">
        <v>8.9700000000000006</v>
      </c>
      <c r="J394" s="194">
        <v>44117</v>
      </c>
      <c r="K394" s="195">
        <v>16162</v>
      </c>
      <c r="L394" s="195">
        <v>17115</v>
      </c>
      <c r="M394" s="196">
        <v>3099286440.5100002</v>
      </c>
      <c r="N394" s="196">
        <v>1062364461.6000001</v>
      </c>
      <c r="O394" s="196">
        <v>4161650902.1100006</v>
      </c>
      <c r="P394" s="195">
        <v>745027820.42464077</v>
      </c>
      <c r="Q394" s="197">
        <v>0.10400331939365198</v>
      </c>
      <c r="R394" s="163">
        <v>0.60837274307573608</v>
      </c>
      <c r="S394" s="163">
        <v>0.2734226017913573</v>
      </c>
      <c r="T394" s="164">
        <v>1.4201335739254596E-2</v>
      </c>
      <c r="U394" s="1"/>
    </row>
    <row r="395" spans="2:21" ht="12.5" x14ac:dyDescent="0.25">
      <c r="B395" s="40" t="s">
        <v>491</v>
      </c>
      <c r="C395" s="41" t="s">
        <v>179</v>
      </c>
      <c r="D395" s="219" t="s">
        <v>60</v>
      </c>
      <c r="E395" s="219" t="s">
        <v>185</v>
      </c>
      <c r="F395" s="19" t="s">
        <v>24</v>
      </c>
      <c r="G395" s="19" t="s">
        <v>412</v>
      </c>
      <c r="H395" s="20">
        <v>44112</v>
      </c>
      <c r="I395" s="193">
        <v>46.25</v>
      </c>
      <c r="J395" s="194">
        <v>44117</v>
      </c>
      <c r="K395" s="195">
        <v>0</v>
      </c>
      <c r="L395" s="195">
        <v>1635</v>
      </c>
      <c r="M395" s="196">
        <v>5614750000</v>
      </c>
      <c r="N395" s="196">
        <v>0</v>
      </c>
      <c r="O395" s="196">
        <v>5614750000</v>
      </c>
      <c r="P395" s="195">
        <v>1005164789.9174708</v>
      </c>
      <c r="Q395" s="197">
        <v>0</v>
      </c>
      <c r="R395" s="163">
        <v>0.36891922570016472</v>
      </c>
      <c r="S395" s="163">
        <v>0.10215650741350907</v>
      </c>
      <c r="T395" s="164">
        <v>0.32242509060955521</v>
      </c>
      <c r="U395" s="1"/>
    </row>
    <row r="396" spans="2:21" ht="12.5" x14ac:dyDescent="0.25">
      <c r="B396" s="40" t="s">
        <v>492</v>
      </c>
      <c r="C396" s="41" t="s">
        <v>184</v>
      </c>
      <c r="D396" s="219" t="s">
        <v>60</v>
      </c>
      <c r="E396" s="219" t="s">
        <v>348</v>
      </c>
      <c r="F396" s="19" t="s">
        <v>23</v>
      </c>
      <c r="G396" s="19" t="s">
        <v>181</v>
      </c>
      <c r="H396" s="20">
        <v>44126</v>
      </c>
      <c r="I396" s="193">
        <v>9.25</v>
      </c>
      <c r="J396" s="194">
        <v>44130</v>
      </c>
      <c r="K396" s="195">
        <v>1267</v>
      </c>
      <c r="L396" s="195">
        <v>1422</v>
      </c>
      <c r="M396" s="196">
        <v>182391500</v>
      </c>
      <c r="N396" s="196">
        <v>309825050</v>
      </c>
      <c r="O396" s="196">
        <v>492216550</v>
      </c>
      <c r="P396" s="195">
        <v>87383991.975571662</v>
      </c>
      <c r="Q396" s="197">
        <v>7.403591028795084E-2</v>
      </c>
      <c r="R396" s="163">
        <v>0.6792292482079344</v>
      </c>
      <c r="S396" s="163">
        <v>0.23665688024067533</v>
      </c>
      <c r="T396" s="164">
        <v>8.0527370452185935E-3</v>
      </c>
      <c r="U396" s="1"/>
    </row>
    <row r="397" spans="2:21" ht="12.5" x14ac:dyDescent="0.25">
      <c r="B397" s="40" t="s">
        <v>493</v>
      </c>
      <c r="C397" s="41" t="s">
        <v>179</v>
      </c>
      <c r="D397" s="219" t="s">
        <v>146</v>
      </c>
      <c r="E397" s="219" t="s">
        <v>204</v>
      </c>
      <c r="F397" s="19" t="s">
        <v>23</v>
      </c>
      <c r="G397" s="19" t="s">
        <v>181</v>
      </c>
      <c r="H397" s="20">
        <v>44138</v>
      </c>
      <c r="I397" s="193">
        <v>10</v>
      </c>
      <c r="J397" s="194">
        <v>44139</v>
      </c>
      <c r="K397" s="195">
        <v>1066</v>
      </c>
      <c r="L397" s="195">
        <v>1256</v>
      </c>
      <c r="M397" s="196">
        <v>334677510</v>
      </c>
      <c r="N397" s="196">
        <v>294718120</v>
      </c>
      <c r="O397" s="196">
        <v>629395630</v>
      </c>
      <c r="P397" s="195">
        <v>110624067.14122507</v>
      </c>
      <c r="Q397" s="197">
        <v>0.10185889040722203</v>
      </c>
      <c r="R397" s="163">
        <v>0.63191547132501613</v>
      </c>
      <c r="S397" s="163">
        <v>0.26036318280768739</v>
      </c>
      <c r="T397" s="164">
        <v>5.8624554600745105E-3</v>
      </c>
      <c r="U397" s="1"/>
    </row>
    <row r="398" spans="2:21" ht="12.5" x14ac:dyDescent="0.25">
      <c r="B398" s="40" t="s">
        <v>494</v>
      </c>
      <c r="C398" s="41" t="s">
        <v>179</v>
      </c>
      <c r="D398" s="219" t="s">
        <v>146</v>
      </c>
      <c r="E398" s="219" t="s">
        <v>348</v>
      </c>
      <c r="F398" s="19" t="s">
        <v>23</v>
      </c>
      <c r="G398" s="19" t="s">
        <v>181</v>
      </c>
      <c r="H398" s="20">
        <v>44140</v>
      </c>
      <c r="I398" s="193">
        <v>10.25</v>
      </c>
      <c r="J398" s="194">
        <v>44141</v>
      </c>
      <c r="K398" s="195">
        <v>1221</v>
      </c>
      <c r="L398" s="195">
        <v>1447</v>
      </c>
      <c r="M398" s="196">
        <v>470833750</v>
      </c>
      <c r="N398" s="196">
        <v>515883760.75</v>
      </c>
      <c r="O398" s="196">
        <v>986717510.75</v>
      </c>
      <c r="P398" s="195">
        <v>178387993.91643918</v>
      </c>
      <c r="Q398" s="197">
        <v>0.10703065504124835</v>
      </c>
      <c r="R398" s="163">
        <v>0.71477944005202088</v>
      </c>
      <c r="S398" s="163">
        <v>0.17534201808662636</v>
      </c>
      <c r="T398" s="164">
        <v>2.8478868201044522E-3</v>
      </c>
      <c r="U398" s="1"/>
    </row>
    <row r="399" spans="2:21" ht="12.5" x14ac:dyDescent="0.25">
      <c r="B399" s="40" t="s">
        <v>469</v>
      </c>
      <c r="C399" s="41" t="s">
        <v>240</v>
      </c>
      <c r="D399" s="219" t="s">
        <v>152</v>
      </c>
      <c r="E399" s="219" t="s">
        <v>457</v>
      </c>
      <c r="F399" s="19" t="s">
        <v>24</v>
      </c>
      <c r="G399" s="19" t="s">
        <v>181</v>
      </c>
      <c r="H399" s="20">
        <v>44141</v>
      </c>
      <c r="I399" s="193">
        <v>48.5</v>
      </c>
      <c r="J399" s="194">
        <v>44144</v>
      </c>
      <c r="K399" s="195">
        <v>543</v>
      </c>
      <c r="L399" s="195">
        <v>580</v>
      </c>
      <c r="M399" s="196">
        <v>0</v>
      </c>
      <c r="N399" s="196">
        <v>87300000</v>
      </c>
      <c r="O399" s="196">
        <v>87300000</v>
      </c>
      <c r="P399" s="195">
        <v>16160681.229174379</v>
      </c>
      <c r="Q399" s="197">
        <v>0.14430000000000001</v>
      </c>
      <c r="R399" s="163">
        <v>0.76633777777777778</v>
      </c>
      <c r="S399" s="163">
        <v>0</v>
      </c>
      <c r="T399" s="164">
        <v>8.9362222222222218E-2</v>
      </c>
      <c r="U399" s="1"/>
    </row>
    <row r="400" spans="2:21" ht="12.5" x14ac:dyDescent="0.25">
      <c r="B400" s="40" t="s">
        <v>495</v>
      </c>
      <c r="C400" s="41" t="s">
        <v>179</v>
      </c>
      <c r="D400" s="219" t="s">
        <v>101</v>
      </c>
      <c r="E400" s="219" t="s">
        <v>348</v>
      </c>
      <c r="F400" s="19" t="s">
        <v>23</v>
      </c>
      <c r="G400" s="19" t="s">
        <v>181</v>
      </c>
      <c r="H400" s="20">
        <v>44144</v>
      </c>
      <c r="I400" s="193">
        <v>5.55</v>
      </c>
      <c r="J400" s="194">
        <v>44145</v>
      </c>
      <c r="K400" s="195">
        <v>1161</v>
      </c>
      <c r="L400" s="195">
        <v>1330</v>
      </c>
      <c r="M400" s="196">
        <v>834634607.70000005</v>
      </c>
      <c r="N400" s="196">
        <v>294576883.80000001</v>
      </c>
      <c r="O400" s="196">
        <v>1129211491.5</v>
      </c>
      <c r="P400" s="195">
        <v>210297134.14407033</v>
      </c>
      <c r="Q400" s="197">
        <v>3.4478395006662922E-2</v>
      </c>
      <c r="R400" s="163">
        <v>0.29991489300213164</v>
      </c>
      <c r="S400" s="163">
        <v>0.66448168358903037</v>
      </c>
      <c r="T400" s="164">
        <v>1.1250284021750941E-3</v>
      </c>
      <c r="U400" s="1"/>
    </row>
    <row r="401" spans="2:21" ht="12.5" x14ac:dyDescent="0.25">
      <c r="B401" s="40" t="s">
        <v>496</v>
      </c>
      <c r="C401" s="41" t="s">
        <v>179</v>
      </c>
      <c r="D401" s="219" t="s">
        <v>144</v>
      </c>
      <c r="E401" s="219" t="s">
        <v>457</v>
      </c>
      <c r="F401" s="19" t="s">
        <v>23</v>
      </c>
      <c r="G401" s="19" t="s">
        <v>181</v>
      </c>
      <c r="H401" s="20">
        <v>44144</v>
      </c>
      <c r="I401" s="193">
        <v>21</v>
      </c>
      <c r="J401" s="194">
        <v>44145</v>
      </c>
      <c r="K401" s="195">
        <v>1412</v>
      </c>
      <c r="L401" s="195">
        <v>1516</v>
      </c>
      <c r="M401" s="196">
        <v>690000003</v>
      </c>
      <c r="N401" s="196">
        <v>0</v>
      </c>
      <c r="O401" s="196">
        <v>690000003</v>
      </c>
      <c r="P401" s="195">
        <v>128501192.45381406</v>
      </c>
      <c r="Q401" s="197">
        <v>7.5767877931444003E-2</v>
      </c>
      <c r="R401" s="163">
        <v>0.57498298010876969</v>
      </c>
      <c r="S401" s="163">
        <v>0.17378513402702114</v>
      </c>
      <c r="T401" s="164">
        <v>0.17546400793276518</v>
      </c>
      <c r="U401" s="1"/>
    </row>
    <row r="402" spans="2:21" ht="12.5" x14ac:dyDescent="0.25">
      <c r="B402" s="40" t="s">
        <v>438</v>
      </c>
      <c r="C402" s="41" t="s">
        <v>179</v>
      </c>
      <c r="D402" s="219" t="s">
        <v>123</v>
      </c>
      <c r="E402" s="219" t="s">
        <v>204</v>
      </c>
      <c r="F402" s="19" t="s">
        <v>24</v>
      </c>
      <c r="G402" s="19" t="s">
        <v>412</v>
      </c>
      <c r="H402" s="20">
        <v>44152</v>
      </c>
      <c r="I402" s="193">
        <v>10.8</v>
      </c>
      <c r="J402" s="194">
        <v>44154</v>
      </c>
      <c r="K402" s="195">
        <v>324</v>
      </c>
      <c r="L402" s="195">
        <v>505</v>
      </c>
      <c r="M402" s="196">
        <v>510300000</v>
      </c>
      <c r="N402" s="196">
        <v>0</v>
      </c>
      <c r="O402" s="196">
        <v>510300000</v>
      </c>
      <c r="P402" s="195">
        <v>95687230.451903239</v>
      </c>
      <c r="Q402" s="197">
        <v>2.8301164021164015E-3</v>
      </c>
      <c r="R402" s="163">
        <v>0.41647214814814815</v>
      </c>
      <c r="S402" s="163">
        <v>0.50764852910052904</v>
      </c>
      <c r="T402" s="164">
        <v>7.3049206349206336E-2</v>
      </c>
      <c r="U402" s="1"/>
    </row>
    <row r="403" spans="2:21" ht="12.5" x14ac:dyDescent="0.25">
      <c r="B403" s="40" t="s">
        <v>403</v>
      </c>
      <c r="C403" s="41" t="s">
        <v>179</v>
      </c>
      <c r="D403" s="219" t="s">
        <v>98</v>
      </c>
      <c r="E403" s="219" t="s">
        <v>190</v>
      </c>
      <c r="F403" s="19" t="s">
        <v>24</v>
      </c>
      <c r="G403" s="19" t="s">
        <v>412</v>
      </c>
      <c r="H403" s="20">
        <v>44168</v>
      </c>
      <c r="I403" s="193">
        <v>34</v>
      </c>
      <c r="J403" s="194">
        <v>44172</v>
      </c>
      <c r="K403" s="195">
        <v>0</v>
      </c>
      <c r="L403" s="195">
        <v>297</v>
      </c>
      <c r="M403" s="196">
        <v>918000000</v>
      </c>
      <c r="N403" s="196">
        <v>0</v>
      </c>
      <c r="O403" s="196">
        <v>918000000</v>
      </c>
      <c r="P403" s="195">
        <v>179936493.00246972</v>
      </c>
      <c r="Q403" s="197">
        <v>0</v>
      </c>
      <c r="R403" s="163">
        <v>0.45037037037037037</v>
      </c>
      <c r="S403" s="163">
        <v>0.12278966666666667</v>
      </c>
      <c r="T403" s="164">
        <v>0.42683996296296295</v>
      </c>
      <c r="U403" s="1"/>
    </row>
    <row r="404" spans="2:21" ht="12.5" x14ac:dyDescent="0.25">
      <c r="B404" s="40" t="s">
        <v>440</v>
      </c>
      <c r="C404" s="41" t="s">
        <v>179</v>
      </c>
      <c r="D404" s="219" t="s">
        <v>136</v>
      </c>
      <c r="E404" s="219" t="s">
        <v>497</v>
      </c>
      <c r="F404" s="19" t="s">
        <v>24</v>
      </c>
      <c r="G404" s="19" t="s">
        <v>412</v>
      </c>
      <c r="H404" s="20">
        <v>44166</v>
      </c>
      <c r="I404" s="193">
        <v>69.5</v>
      </c>
      <c r="J404" s="194">
        <v>44168</v>
      </c>
      <c r="K404" s="195">
        <v>0</v>
      </c>
      <c r="L404" s="195">
        <v>436</v>
      </c>
      <c r="M404" s="196">
        <v>0</v>
      </c>
      <c r="N404" s="196">
        <v>3753000000</v>
      </c>
      <c r="O404" s="196">
        <v>3753000000</v>
      </c>
      <c r="P404" s="195">
        <v>726973365.61743343</v>
      </c>
      <c r="Q404" s="197">
        <v>7.6444444444444438E-5</v>
      </c>
      <c r="R404" s="163">
        <v>0.46638235185185184</v>
      </c>
      <c r="S404" s="163">
        <v>0.53335601851851855</v>
      </c>
      <c r="T404" s="164">
        <v>1.8518518518518518E-4</v>
      </c>
      <c r="U404" s="1"/>
    </row>
    <row r="405" spans="2:21" ht="12.5" x14ac:dyDescent="0.25">
      <c r="B405" s="40" t="s">
        <v>498</v>
      </c>
      <c r="C405" s="41" t="s">
        <v>179</v>
      </c>
      <c r="D405" s="219" t="s">
        <v>145</v>
      </c>
      <c r="E405" s="219" t="s">
        <v>499</v>
      </c>
      <c r="F405" s="19" t="s">
        <v>23</v>
      </c>
      <c r="G405" s="19" t="s">
        <v>412</v>
      </c>
      <c r="H405" s="20">
        <v>44174</v>
      </c>
      <c r="I405" s="193">
        <v>29.5</v>
      </c>
      <c r="J405" s="194">
        <v>44172</v>
      </c>
      <c r="K405" s="195">
        <v>6</v>
      </c>
      <c r="L405" s="195">
        <v>39</v>
      </c>
      <c r="M405" s="196">
        <v>305992585</v>
      </c>
      <c r="N405" s="196">
        <v>0</v>
      </c>
      <c r="O405" s="196">
        <v>305992585</v>
      </c>
      <c r="P405" s="195">
        <v>60364282.614270784</v>
      </c>
      <c r="Q405" s="197">
        <v>1.6666939821433909E-2</v>
      </c>
      <c r="R405" s="163">
        <v>0.80600194936096248</v>
      </c>
      <c r="S405" s="163">
        <v>4.4752391630666473E-2</v>
      </c>
      <c r="T405" s="164">
        <v>0.13257871918693717</v>
      </c>
      <c r="U405" s="1"/>
    </row>
    <row r="406" spans="2:21" ht="12.5" x14ac:dyDescent="0.25">
      <c r="B406" s="40" t="s">
        <v>500</v>
      </c>
      <c r="C406" s="41" t="s">
        <v>179</v>
      </c>
      <c r="D406" s="229" t="s">
        <v>136</v>
      </c>
      <c r="E406" s="229" t="s">
        <v>461</v>
      </c>
      <c r="F406" s="52" t="s">
        <v>23</v>
      </c>
      <c r="G406" s="52" t="s">
        <v>181</v>
      </c>
      <c r="H406" s="53">
        <v>44174</v>
      </c>
      <c r="I406" s="204">
        <v>57.92</v>
      </c>
      <c r="J406" s="233">
        <v>44175</v>
      </c>
      <c r="K406" s="195">
        <v>41258</v>
      </c>
      <c r="L406" s="264">
        <v>43237</v>
      </c>
      <c r="M406" s="265">
        <v>8437640047.04</v>
      </c>
      <c r="N406" s="265">
        <v>2953173990.4000001</v>
      </c>
      <c r="O406" s="265">
        <v>11390814037.440001</v>
      </c>
      <c r="P406" s="264">
        <v>2239993321.2931643</v>
      </c>
      <c r="Q406" s="197">
        <v>0.10520653062907245</v>
      </c>
      <c r="R406" s="163">
        <v>0.41673076945665166</v>
      </c>
      <c r="S406" s="163">
        <v>0.47035108864301139</v>
      </c>
      <c r="T406" s="164">
        <v>7.7116112712644833E-3</v>
      </c>
      <c r="U406" s="267"/>
    </row>
    <row r="407" spans="2:21" ht="12.5" x14ac:dyDescent="0.25">
      <c r="B407" s="40" t="s">
        <v>501</v>
      </c>
      <c r="C407" s="41" t="s">
        <v>179</v>
      </c>
      <c r="D407" s="219" t="s">
        <v>146</v>
      </c>
      <c r="E407" s="219" t="s">
        <v>202</v>
      </c>
      <c r="F407" s="19" t="s">
        <v>23</v>
      </c>
      <c r="G407" s="19" t="s">
        <v>181</v>
      </c>
      <c r="H407" s="20">
        <v>44180</v>
      </c>
      <c r="I407" s="193">
        <v>4.5</v>
      </c>
      <c r="J407" s="194">
        <v>44183</v>
      </c>
      <c r="K407" s="195">
        <v>2747</v>
      </c>
      <c r="L407" s="195">
        <v>2964</v>
      </c>
      <c r="M407" s="196">
        <v>337500000</v>
      </c>
      <c r="N407" s="196">
        <v>148950000</v>
      </c>
      <c r="O407" s="196">
        <v>486450000</v>
      </c>
      <c r="P407" s="195">
        <v>96113569.904370502</v>
      </c>
      <c r="Q407" s="197">
        <v>0.18062240518038852</v>
      </c>
      <c r="R407" s="163">
        <v>0.54608746530989827</v>
      </c>
      <c r="S407" s="163">
        <v>0.26540198889916744</v>
      </c>
      <c r="T407" s="164">
        <v>7.8881406105457911E-3</v>
      </c>
      <c r="U407" s="1"/>
    </row>
    <row r="408" spans="2:21" ht="12.5" x14ac:dyDescent="0.25">
      <c r="B408" s="40" t="s">
        <v>345</v>
      </c>
      <c r="C408" s="41" t="s">
        <v>179</v>
      </c>
      <c r="D408" s="219" t="s">
        <v>131</v>
      </c>
      <c r="E408" s="219" t="s">
        <v>204</v>
      </c>
      <c r="F408" s="19" t="s">
        <v>24</v>
      </c>
      <c r="G408" s="19" t="s">
        <v>412</v>
      </c>
      <c r="H408" s="20">
        <v>44215</v>
      </c>
      <c r="I408" s="193">
        <v>20</v>
      </c>
      <c r="J408" s="194">
        <v>44217</v>
      </c>
      <c r="K408" s="195">
        <v>278</v>
      </c>
      <c r="L408" s="195">
        <v>663</v>
      </c>
      <c r="M408" s="196">
        <v>1372425280</v>
      </c>
      <c r="N408" s="196">
        <v>1372425280</v>
      </c>
      <c r="O408" s="196">
        <v>2744850560</v>
      </c>
      <c r="P408" s="195">
        <v>518434329.96505809</v>
      </c>
      <c r="Q408" s="197">
        <v>3.2416190992926039E-3</v>
      </c>
      <c r="R408" s="163">
        <v>0.65935919658955855</v>
      </c>
      <c r="S408" s="163">
        <v>0.33726310404308496</v>
      </c>
      <c r="T408" s="164">
        <v>1.3608026806384679E-4</v>
      </c>
      <c r="U408" s="1"/>
    </row>
    <row r="409" spans="2:21" ht="12.5" x14ac:dyDescent="0.25">
      <c r="B409" s="40" t="s">
        <v>502</v>
      </c>
      <c r="C409" s="41" t="s">
        <v>179</v>
      </c>
      <c r="D409" s="219" t="s">
        <v>78</v>
      </c>
      <c r="E409" s="219" t="s">
        <v>190</v>
      </c>
      <c r="F409" s="19" t="s">
        <v>23</v>
      </c>
      <c r="G409" s="19" t="s">
        <v>412</v>
      </c>
      <c r="H409" s="20">
        <v>44217</v>
      </c>
      <c r="I409" s="193">
        <v>19.100000000000001</v>
      </c>
      <c r="J409" s="194">
        <v>44222</v>
      </c>
      <c r="K409" s="195">
        <v>0</v>
      </c>
      <c r="L409" s="195">
        <v>31</v>
      </c>
      <c r="M409" s="196">
        <v>802582000</v>
      </c>
      <c r="N409" s="196">
        <v>0</v>
      </c>
      <c r="O409" s="196">
        <v>802582000</v>
      </c>
      <c r="P409" s="195">
        <v>150957754.956175</v>
      </c>
      <c r="Q409" s="197">
        <v>0</v>
      </c>
      <c r="R409" s="163">
        <v>0.58781532603522135</v>
      </c>
      <c r="S409" s="163">
        <v>8.7101380295097564E-2</v>
      </c>
      <c r="T409" s="164">
        <v>0.32508329366968108</v>
      </c>
      <c r="U409" s="1"/>
    </row>
    <row r="410" spans="2:21" ht="12.5" x14ac:dyDescent="0.25">
      <c r="B410" s="40" t="s">
        <v>503</v>
      </c>
      <c r="C410" s="41" t="s">
        <v>179</v>
      </c>
      <c r="D410" s="219" t="s">
        <v>78</v>
      </c>
      <c r="E410" s="219" t="s">
        <v>348</v>
      </c>
      <c r="F410" s="19" t="s">
        <v>23</v>
      </c>
      <c r="G410" s="19" t="s">
        <v>412</v>
      </c>
      <c r="H410" s="20">
        <v>44223</v>
      </c>
      <c r="I410" s="193">
        <v>26</v>
      </c>
      <c r="J410" s="194">
        <v>44225</v>
      </c>
      <c r="K410" s="195">
        <v>0</v>
      </c>
      <c r="L410" s="195">
        <v>60</v>
      </c>
      <c r="M410" s="196">
        <v>889598528</v>
      </c>
      <c r="N410" s="196">
        <v>415145952</v>
      </c>
      <c r="O410" s="196">
        <v>1304744480</v>
      </c>
      <c r="P410" s="195">
        <v>240364113.33407021</v>
      </c>
      <c r="Q410" s="197">
        <v>0</v>
      </c>
      <c r="R410" s="163">
        <v>0.42894771242872015</v>
      </c>
      <c r="S410" s="163">
        <v>0.5710522875712799</v>
      </c>
      <c r="T410" s="164">
        <v>0</v>
      </c>
      <c r="U410" s="1"/>
    </row>
    <row r="411" spans="2:21" ht="12.5" x14ac:dyDescent="0.25">
      <c r="B411" s="40" t="s">
        <v>427</v>
      </c>
      <c r="C411" s="41" t="s">
        <v>179</v>
      </c>
      <c r="D411" s="219" t="s">
        <v>131</v>
      </c>
      <c r="E411" s="219" t="s">
        <v>204</v>
      </c>
      <c r="F411" s="19" t="s">
        <v>24</v>
      </c>
      <c r="G411" s="19" t="s">
        <v>412</v>
      </c>
      <c r="H411" s="20">
        <v>44224</v>
      </c>
      <c r="I411" s="193">
        <v>39</v>
      </c>
      <c r="J411" s="194">
        <v>44229</v>
      </c>
      <c r="K411" s="195">
        <v>0</v>
      </c>
      <c r="L411" s="195">
        <v>191</v>
      </c>
      <c r="M411" s="196">
        <v>0</v>
      </c>
      <c r="N411" s="196">
        <v>954719922</v>
      </c>
      <c r="O411" s="196">
        <v>954719922</v>
      </c>
      <c r="P411" s="195">
        <v>175881493.31270033</v>
      </c>
      <c r="Q411" s="197">
        <v>0</v>
      </c>
      <c r="R411" s="163">
        <v>0.67180038168303768</v>
      </c>
      <c r="S411" s="163">
        <v>0.31371023804822207</v>
      </c>
      <c r="T411" s="164">
        <v>1.4489380268740217E-2</v>
      </c>
      <c r="U411" s="1"/>
    </row>
    <row r="412" spans="2:21" ht="12.5" x14ac:dyDescent="0.25">
      <c r="B412" s="40" t="s">
        <v>445</v>
      </c>
      <c r="C412" s="41" t="s">
        <v>184</v>
      </c>
      <c r="D412" s="219" t="s">
        <v>72</v>
      </c>
      <c r="E412" s="219" t="s">
        <v>348</v>
      </c>
      <c r="F412" s="19" t="s">
        <v>24</v>
      </c>
      <c r="G412" s="19" t="s">
        <v>412</v>
      </c>
      <c r="H412" s="20">
        <v>44217</v>
      </c>
      <c r="I412" s="193">
        <v>30.84</v>
      </c>
      <c r="J412" s="194">
        <v>44253</v>
      </c>
      <c r="K412" s="195">
        <v>0</v>
      </c>
      <c r="L412" s="195">
        <v>1674</v>
      </c>
      <c r="M412" s="196">
        <v>2570000020.5599999</v>
      </c>
      <c r="N412" s="196">
        <v>0</v>
      </c>
      <c r="O412" s="196">
        <v>2570000020.5599999</v>
      </c>
      <c r="P412" s="195">
        <v>483391645.14163184</v>
      </c>
      <c r="Q412" s="197">
        <v>0</v>
      </c>
      <c r="R412" s="163">
        <v>0.45258476037932194</v>
      </c>
      <c r="S412" s="163">
        <v>0.16418192268654463</v>
      </c>
      <c r="T412" s="164">
        <v>0.38323331693413348</v>
      </c>
      <c r="U412" s="1"/>
    </row>
    <row r="413" spans="2:21" ht="12.5" x14ac:dyDescent="0.25">
      <c r="B413" s="40" t="s">
        <v>504</v>
      </c>
      <c r="C413" s="41" t="s">
        <v>179</v>
      </c>
      <c r="D413" s="219" t="s">
        <v>144</v>
      </c>
      <c r="E413" s="219" t="s">
        <v>348</v>
      </c>
      <c r="F413" s="19" t="s">
        <v>24</v>
      </c>
      <c r="G413" s="19" t="s">
        <v>412</v>
      </c>
      <c r="H413" s="20">
        <v>44224</v>
      </c>
      <c r="I413" s="193">
        <v>69</v>
      </c>
      <c r="J413" s="194">
        <v>44228</v>
      </c>
      <c r="K413" s="195">
        <v>0</v>
      </c>
      <c r="L413" s="195">
        <v>1499</v>
      </c>
      <c r="M413" s="196">
        <v>2049300000</v>
      </c>
      <c r="N413" s="196">
        <v>0</v>
      </c>
      <c r="O413" s="196">
        <v>2049300000</v>
      </c>
      <c r="P413" s="195">
        <v>377528462.47374821</v>
      </c>
      <c r="Q413" s="197">
        <v>0</v>
      </c>
      <c r="R413" s="163">
        <v>0.55884619528619528</v>
      </c>
      <c r="S413" s="163">
        <v>0.1538776430976431</v>
      </c>
      <c r="T413" s="164">
        <v>0.2872761616161616</v>
      </c>
      <c r="U413" s="1"/>
    </row>
    <row r="414" spans="2:21" ht="12.5" x14ac:dyDescent="0.25">
      <c r="B414" s="40" t="s">
        <v>237</v>
      </c>
      <c r="C414" s="41" t="s">
        <v>179</v>
      </c>
      <c r="D414" s="219" t="s">
        <v>106</v>
      </c>
      <c r="E414" s="219" t="s">
        <v>348</v>
      </c>
      <c r="F414" s="19" t="s">
        <v>24</v>
      </c>
      <c r="G414" s="19" t="s">
        <v>412</v>
      </c>
      <c r="H414" s="20">
        <v>44230</v>
      </c>
      <c r="I414" s="193">
        <v>22</v>
      </c>
      <c r="J414" s="194">
        <v>44232</v>
      </c>
      <c r="K414" s="195">
        <v>0</v>
      </c>
      <c r="L414" s="195">
        <v>550</v>
      </c>
      <c r="M414" s="196">
        <v>440000000</v>
      </c>
      <c r="N414" s="196">
        <v>60177810</v>
      </c>
      <c r="O414" s="196">
        <v>500177810</v>
      </c>
      <c r="P414" s="195">
        <v>93625930.778878018</v>
      </c>
      <c r="Q414" s="197">
        <v>0</v>
      </c>
      <c r="R414" s="163">
        <v>0.37493969194674992</v>
      </c>
      <c r="S414" s="163">
        <v>0.48234940690391681</v>
      </c>
      <c r="T414" s="164">
        <v>0.14271090114933327</v>
      </c>
      <c r="U414" s="1"/>
    </row>
    <row r="415" spans="2:21" ht="12.5" x14ac:dyDescent="0.25">
      <c r="B415" s="40" t="s">
        <v>464</v>
      </c>
      <c r="C415" s="41" t="s">
        <v>179</v>
      </c>
      <c r="D415" s="219" t="s">
        <v>146</v>
      </c>
      <c r="E415" s="219" t="s">
        <v>204</v>
      </c>
      <c r="F415" s="19" t="s">
        <v>24</v>
      </c>
      <c r="G415" s="19" t="s">
        <v>412</v>
      </c>
      <c r="H415" s="20">
        <v>44236</v>
      </c>
      <c r="I415" s="193">
        <v>30</v>
      </c>
      <c r="J415" s="194">
        <v>44238</v>
      </c>
      <c r="K415" s="195">
        <v>1530</v>
      </c>
      <c r="L415" s="195">
        <v>2638</v>
      </c>
      <c r="M415" s="196">
        <v>2346000000</v>
      </c>
      <c r="N415" s="196">
        <v>408000000</v>
      </c>
      <c r="O415" s="196">
        <v>2754000000</v>
      </c>
      <c r="P415" s="195">
        <v>507968127.49003989</v>
      </c>
      <c r="Q415" s="197">
        <v>6.4046949891067538E-3</v>
      </c>
      <c r="R415" s="163">
        <v>0.37809911764705884</v>
      </c>
      <c r="S415" s="163">
        <v>0.6119605664488017</v>
      </c>
      <c r="T415" s="164">
        <v>3.5356209150326796E-3</v>
      </c>
      <c r="U415" s="1"/>
    </row>
    <row r="416" spans="2:21" ht="12.5" x14ac:dyDescent="0.25">
      <c r="B416" s="40" t="s">
        <v>505</v>
      </c>
      <c r="C416" s="41" t="s">
        <v>179</v>
      </c>
      <c r="D416" s="219" t="s">
        <v>145</v>
      </c>
      <c r="E416" s="219" t="s">
        <v>204</v>
      </c>
      <c r="F416" s="19" t="s">
        <v>23</v>
      </c>
      <c r="G416" s="19" t="s">
        <v>181</v>
      </c>
      <c r="H416" s="20">
        <v>44224</v>
      </c>
      <c r="I416" s="193">
        <v>17.899999999999999</v>
      </c>
      <c r="J416" s="194">
        <v>44228</v>
      </c>
      <c r="K416" s="195">
        <v>7135</v>
      </c>
      <c r="L416" s="195">
        <v>7837</v>
      </c>
      <c r="M416" s="196">
        <v>1199999997.3999999</v>
      </c>
      <c r="N416" s="196">
        <v>1441623254.7999997</v>
      </c>
      <c r="O416" s="196">
        <v>2641623252.1999998</v>
      </c>
      <c r="P416" s="195">
        <v>486648106.59150356</v>
      </c>
      <c r="Q416" s="197">
        <v>9.7176107412823759E-2</v>
      </c>
      <c r="R416" s="163">
        <v>0.62087119324607831</v>
      </c>
      <c r="S416" s="163">
        <v>0.27451244714630396</v>
      </c>
      <c r="T416" s="164">
        <v>7.440252194794033E-3</v>
      </c>
      <c r="U416" s="1"/>
    </row>
    <row r="417" spans="2:21" ht="12.5" x14ac:dyDescent="0.25">
      <c r="B417" s="40" t="s">
        <v>506</v>
      </c>
      <c r="C417" s="41" t="s">
        <v>179</v>
      </c>
      <c r="D417" s="219" t="s">
        <v>150</v>
      </c>
      <c r="E417" s="219" t="s">
        <v>348</v>
      </c>
      <c r="F417" s="19" t="s">
        <v>23</v>
      </c>
      <c r="G417" s="19" t="s">
        <v>181</v>
      </c>
      <c r="H417" s="20">
        <v>44229</v>
      </c>
      <c r="I417" s="193">
        <v>15.75</v>
      </c>
      <c r="J417" s="194">
        <v>44231</v>
      </c>
      <c r="K417" s="195">
        <v>16772</v>
      </c>
      <c r="L417" s="195">
        <v>17280</v>
      </c>
      <c r="M417" s="196">
        <v>724500000</v>
      </c>
      <c r="N417" s="196">
        <v>579600000</v>
      </c>
      <c r="O417" s="196">
        <v>1304100000</v>
      </c>
      <c r="P417" s="195">
        <v>242060324.82598606</v>
      </c>
      <c r="Q417" s="197">
        <v>0.11571812801932367</v>
      </c>
      <c r="R417" s="163">
        <v>0.7701834541062802</v>
      </c>
      <c r="S417" s="163">
        <v>0.12442478260869565</v>
      </c>
      <c r="T417" s="164">
        <v>0</v>
      </c>
      <c r="U417" s="1"/>
    </row>
    <row r="418" spans="2:21" ht="12.5" x14ac:dyDescent="0.25">
      <c r="B418" s="40" t="s">
        <v>507</v>
      </c>
      <c r="C418" s="41" t="s">
        <v>179</v>
      </c>
      <c r="D418" s="219" t="s">
        <v>146</v>
      </c>
      <c r="E418" s="219" t="s">
        <v>348</v>
      </c>
      <c r="F418" s="19" t="s">
        <v>23</v>
      </c>
      <c r="G418" s="19" t="s">
        <v>181</v>
      </c>
      <c r="H418" s="20">
        <v>44230</v>
      </c>
      <c r="I418" s="193">
        <v>19.8</v>
      </c>
      <c r="J418" s="194">
        <v>44232</v>
      </c>
      <c r="K418" s="195">
        <v>31017</v>
      </c>
      <c r="L418" s="195">
        <v>32377</v>
      </c>
      <c r="M418" s="196">
        <v>578571444</v>
      </c>
      <c r="N418" s="196">
        <v>636428667.60000002</v>
      </c>
      <c r="O418" s="196">
        <v>1215000111.5999999</v>
      </c>
      <c r="P418" s="195">
        <v>225484394.55125824</v>
      </c>
      <c r="Q418" s="197">
        <v>0.11398399397480351</v>
      </c>
      <c r="R418" s="163">
        <v>0.72383819721782483</v>
      </c>
      <c r="S418" s="163">
        <v>0.15387323327386596</v>
      </c>
      <c r="T418" s="164">
        <v>8.3045755335056544E-3</v>
      </c>
      <c r="U418" s="1"/>
    </row>
    <row r="419" spans="2:21" ht="12.5" x14ac:dyDescent="0.25">
      <c r="B419" s="40" t="s">
        <v>508</v>
      </c>
      <c r="C419" s="41" t="s">
        <v>179</v>
      </c>
      <c r="D419" s="219" t="s">
        <v>146</v>
      </c>
      <c r="E419" s="219" t="s">
        <v>185</v>
      </c>
      <c r="F419" s="19" t="s">
        <v>23</v>
      </c>
      <c r="G419" s="19" t="s">
        <v>181</v>
      </c>
      <c r="H419" s="20">
        <v>44230</v>
      </c>
      <c r="I419" s="193">
        <v>21</v>
      </c>
      <c r="J419" s="194">
        <v>44232</v>
      </c>
      <c r="K419" s="195">
        <v>3249</v>
      </c>
      <c r="L419" s="195">
        <v>3591</v>
      </c>
      <c r="M419" s="196">
        <v>777777798</v>
      </c>
      <c r="N419" s="196">
        <v>155555547</v>
      </c>
      <c r="O419" s="196">
        <v>933333345</v>
      </c>
      <c r="P419" s="195">
        <v>173211592.49498925</v>
      </c>
      <c r="Q419" s="197">
        <v>9.5778246302771916E-2</v>
      </c>
      <c r="R419" s="163">
        <v>0.37631791779602602</v>
      </c>
      <c r="S419" s="163">
        <v>0.44151364698107942</v>
      </c>
      <c r="T419" s="164">
        <v>8.6390188920122638E-2</v>
      </c>
      <c r="U419" s="1"/>
    </row>
    <row r="420" spans="2:21" ht="12.5" x14ac:dyDescent="0.25">
      <c r="B420" s="40" t="s">
        <v>509</v>
      </c>
      <c r="C420" s="41" t="s">
        <v>179</v>
      </c>
      <c r="D420" s="219" t="s">
        <v>96</v>
      </c>
      <c r="E420" s="219" t="s">
        <v>457</v>
      </c>
      <c r="F420" s="19" t="s">
        <v>23</v>
      </c>
      <c r="G420" s="19" t="s">
        <v>181</v>
      </c>
      <c r="H420" s="20">
        <v>44231</v>
      </c>
      <c r="I420" s="193">
        <v>8.3000000000000007</v>
      </c>
      <c r="J420" s="194">
        <v>44235</v>
      </c>
      <c r="K420" s="195">
        <v>3985</v>
      </c>
      <c r="L420" s="195">
        <v>4465</v>
      </c>
      <c r="M420" s="196">
        <v>552760005.30000007</v>
      </c>
      <c r="N420" s="196">
        <v>138189995.10000002</v>
      </c>
      <c r="O420" s="196">
        <v>690950000.4000001</v>
      </c>
      <c r="P420" s="195">
        <v>128740450.97820012</v>
      </c>
      <c r="Q420" s="197">
        <v>9.4690080946900818E-2</v>
      </c>
      <c r="R420" s="163">
        <v>0.59891578348915786</v>
      </c>
      <c r="S420" s="163">
        <v>0.29106532416065323</v>
      </c>
      <c r="T420" s="164">
        <v>1.5328811403288112E-2</v>
      </c>
      <c r="U420" s="1"/>
    </row>
    <row r="421" spans="2:21" ht="12.5" x14ac:dyDescent="0.25">
      <c r="B421" s="40" t="s">
        <v>510</v>
      </c>
      <c r="C421" s="41" t="s">
        <v>179</v>
      </c>
      <c r="D421" s="219" t="s">
        <v>131</v>
      </c>
      <c r="E421" s="219" t="s">
        <v>185</v>
      </c>
      <c r="F421" s="19" t="s">
        <v>23</v>
      </c>
      <c r="G421" s="19" t="s">
        <v>181</v>
      </c>
      <c r="H421" s="20">
        <v>44217</v>
      </c>
      <c r="I421" s="193">
        <v>18.02</v>
      </c>
      <c r="J421" s="194">
        <v>44235</v>
      </c>
      <c r="K421" s="195">
        <v>1776</v>
      </c>
      <c r="L421" s="195">
        <v>2019</v>
      </c>
      <c r="M421" s="196">
        <v>764999996.60000002</v>
      </c>
      <c r="N421" s="196">
        <v>7649994.5599999996</v>
      </c>
      <c r="O421" s="196">
        <v>772649991.15999997</v>
      </c>
      <c r="P421" s="195">
        <v>143963106.23439538</v>
      </c>
      <c r="Q421" s="197">
        <v>0.10764379418113598</v>
      </c>
      <c r="R421" s="163">
        <v>0.41945926921486615</v>
      </c>
      <c r="S421" s="163">
        <v>0.46889423843689226</v>
      </c>
      <c r="T421" s="164">
        <v>4.0026981671056321E-3</v>
      </c>
      <c r="U421" s="1"/>
    </row>
    <row r="422" spans="2:21" ht="12.5" x14ac:dyDescent="0.25">
      <c r="B422" s="40" t="s">
        <v>296</v>
      </c>
      <c r="C422" s="41" t="s">
        <v>179</v>
      </c>
      <c r="D422" s="219" t="s">
        <v>98</v>
      </c>
      <c r="E422" s="219" t="s">
        <v>348</v>
      </c>
      <c r="F422" s="19" t="s">
        <v>23</v>
      </c>
      <c r="G422" s="19" t="s">
        <v>181</v>
      </c>
      <c r="H422" s="20">
        <v>44236</v>
      </c>
      <c r="I422" s="193">
        <v>14</v>
      </c>
      <c r="J422" s="194">
        <v>44238</v>
      </c>
      <c r="K422" s="195">
        <v>2517</v>
      </c>
      <c r="L422" s="195">
        <v>2763</v>
      </c>
      <c r="M422" s="196">
        <v>1071000000</v>
      </c>
      <c r="N422" s="196">
        <v>160650000</v>
      </c>
      <c r="O422" s="196">
        <v>1231650000</v>
      </c>
      <c r="P422" s="195">
        <v>229674038.71256483</v>
      </c>
      <c r="Q422" s="197">
        <v>8.5581823070060736E-2</v>
      </c>
      <c r="R422" s="163">
        <v>0.51325041651900105</v>
      </c>
      <c r="S422" s="163">
        <v>0.29283083218255956</v>
      </c>
      <c r="T422" s="164">
        <v>4.2601339378459963E-3</v>
      </c>
      <c r="U422" s="1"/>
    </row>
    <row r="423" spans="2:21" ht="12.5" x14ac:dyDescent="0.25">
      <c r="B423" s="40" t="s">
        <v>511</v>
      </c>
      <c r="C423" s="41" t="s">
        <v>179</v>
      </c>
      <c r="D423" s="219" t="s">
        <v>154</v>
      </c>
      <c r="E423" s="219" t="s">
        <v>204</v>
      </c>
      <c r="F423" s="19" t="s">
        <v>23</v>
      </c>
      <c r="G423" s="19" t="s">
        <v>181</v>
      </c>
      <c r="H423" s="20">
        <v>44237</v>
      </c>
      <c r="I423" s="193">
        <v>11.15</v>
      </c>
      <c r="J423" s="194">
        <v>44239</v>
      </c>
      <c r="K423" s="195">
        <v>2831</v>
      </c>
      <c r="L423" s="195">
        <v>3114</v>
      </c>
      <c r="M423" s="196">
        <v>800000000.85000002</v>
      </c>
      <c r="N423" s="196">
        <v>270000004.05000001</v>
      </c>
      <c r="O423" s="196">
        <v>1070000004.9000001</v>
      </c>
      <c r="P423" s="195">
        <v>198829323.59007713</v>
      </c>
      <c r="Q423" s="197">
        <v>0.11195127376869271</v>
      </c>
      <c r="R423" s="163">
        <v>0.76251232897545029</v>
      </c>
      <c r="S423" s="163">
        <v>0.12184188130112092</v>
      </c>
      <c r="T423" s="164">
        <v>3.6945159547361181E-3</v>
      </c>
      <c r="U423" s="1"/>
    </row>
    <row r="424" spans="2:21" ht="12.5" x14ac:dyDescent="0.25">
      <c r="B424" s="40" t="s">
        <v>512</v>
      </c>
      <c r="C424" s="41" t="s">
        <v>179</v>
      </c>
      <c r="D424" s="219" t="s">
        <v>67</v>
      </c>
      <c r="E424" s="219" t="s">
        <v>202</v>
      </c>
      <c r="F424" s="19" t="s">
        <v>23</v>
      </c>
      <c r="G424" s="19" t="s">
        <v>181</v>
      </c>
      <c r="H424" s="20">
        <v>44238</v>
      </c>
      <c r="I424" s="193">
        <v>22</v>
      </c>
      <c r="J424" s="194">
        <v>44244</v>
      </c>
      <c r="K424" s="195">
        <v>4867</v>
      </c>
      <c r="L424" s="195">
        <v>5233</v>
      </c>
      <c r="M424" s="196">
        <v>381399040</v>
      </c>
      <c r="N424" s="196">
        <v>105465778</v>
      </c>
      <c r="O424" s="196">
        <v>486864818</v>
      </c>
      <c r="P424" s="195">
        <v>89930329.528242633</v>
      </c>
      <c r="Q424" s="197">
        <v>0.16893483180195071</v>
      </c>
      <c r="R424" s="163">
        <v>0.52484073412799037</v>
      </c>
      <c r="S424" s="163">
        <v>0.28380371990175757</v>
      </c>
      <c r="T424" s="164">
        <v>2.2420714168301346E-2</v>
      </c>
      <c r="U424" s="1"/>
    </row>
    <row r="425" spans="2:21" ht="12.5" x14ac:dyDescent="0.25">
      <c r="B425" s="40" t="s">
        <v>513</v>
      </c>
      <c r="C425" s="41" t="s">
        <v>179</v>
      </c>
      <c r="D425" s="219" t="s">
        <v>155</v>
      </c>
      <c r="E425" s="219" t="s">
        <v>185</v>
      </c>
      <c r="F425" s="19" t="s">
        <v>23</v>
      </c>
      <c r="G425" s="19" t="s">
        <v>181</v>
      </c>
      <c r="H425" s="20">
        <v>44238</v>
      </c>
      <c r="I425" s="193">
        <v>17.809999999999999</v>
      </c>
      <c r="J425" s="194">
        <v>44244</v>
      </c>
      <c r="K425" s="195">
        <v>2769</v>
      </c>
      <c r="L425" s="195">
        <v>3019</v>
      </c>
      <c r="M425" s="196">
        <v>700000001.21999991</v>
      </c>
      <c r="N425" s="196">
        <v>57944300.699999996</v>
      </c>
      <c r="O425" s="196">
        <v>757944301.91999996</v>
      </c>
      <c r="P425" s="195">
        <v>140002272.32627729</v>
      </c>
      <c r="Q425" s="197">
        <v>9.0998319276082373E-2</v>
      </c>
      <c r="R425" s="163">
        <v>0.49990118677220252</v>
      </c>
      <c r="S425" s="163">
        <v>0.40461818209161043</v>
      </c>
      <c r="T425" s="164">
        <v>4.4823118601046621E-3</v>
      </c>
      <c r="U425" s="1"/>
    </row>
    <row r="426" spans="2:21" ht="12.5" x14ac:dyDescent="0.25">
      <c r="B426" s="40" t="s">
        <v>514</v>
      </c>
      <c r="C426" s="41" t="s">
        <v>179</v>
      </c>
      <c r="D426" s="219" t="s">
        <v>146</v>
      </c>
      <c r="E426" s="219" t="s">
        <v>348</v>
      </c>
      <c r="F426" s="19" t="s">
        <v>23</v>
      </c>
      <c r="G426" s="19" t="s">
        <v>181</v>
      </c>
      <c r="H426" s="20">
        <v>44235</v>
      </c>
      <c r="I426" s="193">
        <v>22</v>
      </c>
      <c r="J426" s="194">
        <v>44237</v>
      </c>
      <c r="K426" s="195">
        <v>12697</v>
      </c>
      <c r="L426" s="195">
        <v>13620</v>
      </c>
      <c r="M426" s="196">
        <v>1094117684</v>
      </c>
      <c r="N426" s="196">
        <v>164117646</v>
      </c>
      <c r="O426" s="196">
        <v>1258235330</v>
      </c>
      <c r="P426" s="195">
        <v>232903030.13475493</v>
      </c>
      <c r="Q426" s="197">
        <v>0.11008118807155097</v>
      </c>
      <c r="R426" s="163">
        <v>0.76181171609606602</v>
      </c>
      <c r="S426" s="163">
        <v>0.12747788762218273</v>
      </c>
      <c r="T426" s="164">
        <v>6.2920821020023333E-4</v>
      </c>
      <c r="U426" s="1"/>
    </row>
    <row r="427" spans="2:21" ht="12.5" x14ac:dyDescent="0.25">
      <c r="B427" s="40" t="s">
        <v>515</v>
      </c>
      <c r="C427" s="41" t="s">
        <v>184</v>
      </c>
      <c r="D427" s="219" t="s">
        <v>152</v>
      </c>
      <c r="E427" s="219" t="s">
        <v>185</v>
      </c>
      <c r="F427" s="19" t="s">
        <v>23</v>
      </c>
      <c r="G427" s="19" t="s">
        <v>181</v>
      </c>
      <c r="H427" s="20">
        <v>44239</v>
      </c>
      <c r="I427" s="193">
        <v>8.5</v>
      </c>
      <c r="J427" s="194">
        <v>44245</v>
      </c>
      <c r="K427" s="195">
        <v>66255</v>
      </c>
      <c r="L427" s="195">
        <v>67524</v>
      </c>
      <c r="M427" s="196">
        <v>1796903408.5</v>
      </c>
      <c r="N427" s="196">
        <v>3168372815.5</v>
      </c>
      <c r="O427" s="196">
        <v>4965276224</v>
      </c>
      <c r="P427" s="195">
        <v>915460788.37715256</v>
      </c>
      <c r="Q427" s="197">
        <v>0.19860505953031804</v>
      </c>
      <c r="R427" s="163">
        <v>0.28802972580913372</v>
      </c>
      <c r="S427" s="163">
        <v>0.50339133138008563</v>
      </c>
      <c r="T427" s="164">
        <v>9.9738832804625952E-3</v>
      </c>
      <c r="U427" s="1"/>
    </row>
    <row r="428" spans="2:21" ht="12.5" x14ac:dyDescent="0.25">
      <c r="B428" s="40" t="s">
        <v>516</v>
      </c>
      <c r="C428" s="41" t="s">
        <v>179</v>
      </c>
      <c r="D428" s="219" t="s">
        <v>146</v>
      </c>
      <c r="E428" s="219" t="s">
        <v>348</v>
      </c>
      <c r="F428" s="19" t="s">
        <v>23</v>
      </c>
      <c r="G428" s="19" t="s">
        <v>181</v>
      </c>
      <c r="H428" s="20">
        <v>44235</v>
      </c>
      <c r="I428" s="193">
        <v>13</v>
      </c>
      <c r="J428" s="194">
        <v>44238</v>
      </c>
      <c r="K428" s="195">
        <v>8368</v>
      </c>
      <c r="L428" s="195">
        <v>9130</v>
      </c>
      <c r="M428" s="196">
        <v>430294306</v>
      </c>
      <c r="N428" s="196">
        <v>602412018</v>
      </c>
      <c r="O428" s="196">
        <v>1032706324</v>
      </c>
      <c r="P428" s="195">
        <v>191156953.20598254</v>
      </c>
      <c r="Q428" s="197">
        <v>0.12000294375613077</v>
      </c>
      <c r="R428" s="163">
        <v>0.76901535766122264</v>
      </c>
      <c r="S428" s="163">
        <v>0.11066362342766184</v>
      </c>
      <c r="T428" s="164">
        <v>3.1807515498470966E-4</v>
      </c>
      <c r="U428" s="1"/>
    </row>
    <row r="429" spans="2:21" ht="12.5" x14ac:dyDescent="0.25">
      <c r="B429" s="40" t="s">
        <v>496</v>
      </c>
      <c r="C429" s="41" t="s">
        <v>179</v>
      </c>
      <c r="D429" s="219" t="s">
        <v>144</v>
      </c>
      <c r="E429" s="219" t="s">
        <v>348</v>
      </c>
      <c r="F429" s="19" t="s">
        <v>24</v>
      </c>
      <c r="G429" s="19" t="s">
        <v>412</v>
      </c>
      <c r="H429" s="20">
        <v>44285</v>
      </c>
      <c r="I429" s="193">
        <v>36</v>
      </c>
      <c r="J429" s="194">
        <v>44287</v>
      </c>
      <c r="K429" s="195">
        <v>0</v>
      </c>
      <c r="L429" s="195">
        <v>1184</v>
      </c>
      <c r="M429" s="196">
        <v>822798000</v>
      </c>
      <c r="N429" s="196">
        <v>0</v>
      </c>
      <c r="O429" s="196">
        <v>822798000</v>
      </c>
      <c r="P429" s="195">
        <v>144418935.28513506</v>
      </c>
      <c r="Q429" s="197">
        <v>9.6256918466014745E-5</v>
      </c>
      <c r="R429" s="163">
        <v>0.6228496860711864</v>
      </c>
      <c r="S429" s="163">
        <v>0.23298549583251296</v>
      </c>
      <c r="T429" s="164">
        <v>0.14406856117783465</v>
      </c>
      <c r="U429" s="1"/>
    </row>
    <row r="430" spans="2:21" ht="12.5" x14ac:dyDescent="0.25">
      <c r="B430" s="40" t="s">
        <v>197</v>
      </c>
      <c r="C430" s="41" t="s">
        <v>210</v>
      </c>
      <c r="D430" s="19" t="s">
        <v>68</v>
      </c>
      <c r="E430" s="219" t="s">
        <v>190</v>
      </c>
      <c r="F430" s="19" t="s">
        <v>24</v>
      </c>
      <c r="G430" s="19" t="s">
        <v>412</v>
      </c>
      <c r="H430" s="20">
        <v>44293</v>
      </c>
      <c r="I430" s="193">
        <v>58</v>
      </c>
      <c r="J430" s="194">
        <v>44294</v>
      </c>
      <c r="K430" s="195">
        <v>35</v>
      </c>
      <c r="L430" s="195">
        <v>287</v>
      </c>
      <c r="M430" s="196">
        <v>3666272974</v>
      </c>
      <c r="N430" s="196">
        <v>120734888</v>
      </c>
      <c r="O430" s="196">
        <v>3787007862</v>
      </c>
      <c r="P430" s="195">
        <v>677897726.97980809</v>
      </c>
      <c r="Q430" s="197">
        <v>1.75500559866543E-4</v>
      </c>
      <c r="R430" s="163">
        <v>0.21457786770235124</v>
      </c>
      <c r="S430" s="163">
        <v>0.52594658384155213</v>
      </c>
      <c r="T430" s="164">
        <v>0.26342822416881478</v>
      </c>
      <c r="U430" s="1"/>
    </row>
    <row r="431" spans="2:21" ht="12.5" x14ac:dyDescent="0.25">
      <c r="B431" s="40" t="s">
        <v>517</v>
      </c>
      <c r="C431" s="41" t="s">
        <v>179</v>
      </c>
      <c r="D431" s="219" t="s">
        <v>125</v>
      </c>
      <c r="E431" s="219" t="s">
        <v>348</v>
      </c>
      <c r="F431" s="19" t="s">
        <v>23</v>
      </c>
      <c r="G431" s="19" t="s">
        <v>412</v>
      </c>
      <c r="H431" s="20">
        <v>44294</v>
      </c>
      <c r="I431" s="193">
        <v>18</v>
      </c>
      <c r="J431" s="194">
        <v>44298</v>
      </c>
      <c r="K431" s="195">
        <v>2</v>
      </c>
      <c r="L431" s="195">
        <v>38</v>
      </c>
      <c r="M431" s="196">
        <v>180000000</v>
      </c>
      <c r="N431" s="196">
        <v>90000000</v>
      </c>
      <c r="O431" s="196">
        <v>270000000</v>
      </c>
      <c r="P431" s="195">
        <v>48372359.67536772</v>
      </c>
      <c r="Q431" s="197">
        <v>1.11112E-2</v>
      </c>
      <c r="R431" s="163">
        <v>0.70435119999999996</v>
      </c>
      <c r="S431" s="163">
        <v>0.14803333333333332</v>
      </c>
      <c r="T431" s="164">
        <v>0</v>
      </c>
      <c r="U431" s="1"/>
    </row>
    <row r="432" spans="2:21" ht="12.5" x14ac:dyDescent="0.25">
      <c r="B432" s="40" t="s">
        <v>518</v>
      </c>
      <c r="C432" s="41" t="s">
        <v>179</v>
      </c>
      <c r="D432" s="219" t="s">
        <v>68</v>
      </c>
      <c r="E432" s="219" t="s">
        <v>348</v>
      </c>
      <c r="F432" s="19" t="s">
        <v>23</v>
      </c>
      <c r="G432" s="19" t="s">
        <v>181</v>
      </c>
      <c r="H432" s="20">
        <v>44300</v>
      </c>
      <c r="I432" s="193">
        <v>17.440000000000001</v>
      </c>
      <c r="J432" s="194">
        <v>44302</v>
      </c>
      <c r="K432" s="195">
        <v>2765</v>
      </c>
      <c r="L432" s="195">
        <v>3069</v>
      </c>
      <c r="M432" s="196">
        <v>1194727566.24</v>
      </c>
      <c r="N432" s="196">
        <v>218399986.40000001</v>
      </c>
      <c r="O432" s="196">
        <v>1413127552.6400001</v>
      </c>
      <c r="P432" s="195">
        <v>248195790.47351414</v>
      </c>
      <c r="Q432" s="197">
        <v>9.0488449749932545E-2</v>
      </c>
      <c r="R432" s="163">
        <v>0.70953329421474343</v>
      </c>
      <c r="S432" s="163">
        <v>0.19014414983468853</v>
      </c>
      <c r="T432" s="164">
        <v>9.8341062006356075E-3</v>
      </c>
      <c r="U432" s="1"/>
    </row>
    <row r="433" spans="2:21" ht="12.5" x14ac:dyDescent="0.25">
      <c r="B433" s="40" t="s">
        <v>519</v>
      </c>
      <c r="C433" s="41" t="s">
        <v>179</v>
      </c>
      <c r="D433" s="219" t="s">
        <v>133</v>
      </c>
      <c r="E433" s="219" t="s">
        <v>204</v>
      </c>
      <c r="F433" s="19" t="s">
        <v>23</v>
      </c>
      <c r="G433" s="19" t="s">
        <v>181</v>
      </c>
      <c r="H433" s="20">
        <v>44294</v>
      </c>
      <c r="I433" s="193">
        <v>40.14</v>
      </c>
      <c r="J433" s="194">
        <v>44305</v>
      </c>
      <c r="K433" s="195">
        <v>1765</v>
      </c>
      <c r="L433" s="195">
        <v>2017</v>
      </c>
      <c r="M433" s="196">
        <v>1260152711.46</v>
      </c>
      <c r="N433" s="196">
        <v>0</v>
      </c>
      <c r="O433" s="196">
        <v>1260152711.46</v>
      </c>
      <c r="P433" s="195">
        <v>225765037.79493704</v>
      </c>
      <c r="Q433" s="197">
        <v>5.3142901246001656E-2</v>
      </c>
      <c r="R433" s="163">
        <v>0.45854825671923494</v>
      </c>
      <c r="S433" s="163">
        <v>0.48559204373812415</v>
      </c>
      <c r="T433" s="164">
        <v>2.7167982966393609E-3</v>
      </c>
      <c r="U433" s="1"/>
    </row>
    <row r="434" spans="2:21" ht="12.5" x14ac:dyDescent="0.25">
      <c r="B434" s="40" t="s">
        <v>520</v>
      </c>
      <c r="C434" s="41" t="s">
        <v>179</v>
      </c>
      <c r="D434" s="219" t="s">
        <v>86</v>
      </c>
      <c r="E434" s="219" t="s">
        <v>204</v>
      </c>
      <c r="F434" s="19" t="s">
        <v>23</v>
      </c>
      <c r="G434" s="19" t="s">
        <v>181</v>
      </c>
      <c r="H434" s="20">
        <v>44308</v>
      </c>
      <c r="I434" s="193">
        <v>12</v>
      </c>
      <c r="J434" s="194">
        <v>44312</v>
      </c>
      <c r="K434" s="195">
        <v>1669</v>
      </c>
      <c r="L434" s="195">
        <v>1994</v>
      </c>
      <c r="M434" s="196">
        <v>1082251080</v>
      </c>
      <c r="N434" s="196">
        <v>1406926404</v>
      </c>
      <c r="O434" s="196">
        <v>2489177484</v>
      </c>
      <c r="P434" s="195">
        <v>452824719.665272</v>
      </c>
      <c r="Q434" s="197">
        <v>3.9643509807675892E-2</v>
      </c>
      <c r="R434" s="163">
        <v>0.70778085505131461</v>
      </c>
      <c r="S434" s="163">
        <v>0.24847309923682404</v>
      </c>
      <c r="T434" s="164">
        <v>4.1025359041854488E-3</v>
      </c>
      <c r="U434" s="1"/>
    </row>
    <row r="435" spans="2:21" ht="12.5" x14ac:dyDescent="0.25">
      <c r="B435" s="40" t="s">
        <v>521</v>
      </c>
      <c r="C435" s="41" t="s">
        <v>179</v>
      </c>
      <c r="D435" s="219" t="s">
        <v>106</v>
      </c>
      <c r="E435" s="219" t="s">
        <v>457</v>
      </c>
      <c r="F435" s="19" t="s">
        <v>23</v>
      </c>
      <c r="G435" s="19" t="s">
        <v>181</v>
      </c>
      <c r="H435" s="20">
        <v>44313</v>
      </c>
      <c r="I435" s="193">
        <v>9.9</v>
      </c>
      <c r="J435" s="194">
        <v>44315</v>
      </c>
      <c r="K435" s="195">
        <v>15557</v>
      </c>
      <c r="L435" s="195">
        <v>16158</v>
      </c>
      <c r="M435" s="196">
        <v>459999995.39999998</v>
      </c>
      <c r="N435" s="196">
        <v>0</v>
      </c>
      <c r="O435" s="196">
        <v>459999995.39999998</v>
      </c>
      <c r="P435" s="195">
        <v>84521533.771865353</v>
      </c>
      <c r="Q435" s="197">
        <v>0.13878153725738057</v>
      </c>
      <c r="R435" s="163">
        <v>0.69979222482400927</v>
      </c>
      <c r="S435" s="163">
        <v>0.14841638952764213</v>
      </c>
      <c r="T435" s="164">
        <v>1.4447909492305183E-2</v>
      </c>
      <c r="U435" s="1"/>
    </row>
    <row r="436" spans="2:21" ht="12.5" x14ac:dyDescent="0.25">
      <c r="B436" s="40" t="s">
        <v>522</v>
      </c>
      <c r="C436" s="41" t="s">
        <v>179</v>
      </c>
      <c r="D436" s="219" t="s">
        <v>69</v>
      </c>
      <c r="E436" s="219" t="s">
        <v>185</v>
      </c>
      <c r="F436" s="19" t="s">
        <v>23</v>
      </c>
      <c r="G436" s="19" t="s">
        <v>181</v>
      </c>
      <c r="H436" s="20">
        <v>44313</v>
      </c>
      <c r="I436" s="193">
        <v>9.67</v>
      </c>
      <c r="J436" s="194">
        <v>44315</v>
      </c>
      <c r="K436" s="195">
        <v>0</v>
      </c>
      <c r="L436" s="195">
        <v>0</v>
      </c>
      <c r="M436" s="196">
        <v>0</v>
      </c>
      <c r="N436" s="196">
        <v>4351500000</v>
      </c>
      <c r="O436" s="196">
        <v>4351500000</v>
      </c>
      <c r="P436" s="195">
        <v>799555343.23092747</v>
      </c>
      <c r="Q436" s="197">
        <v>0</v>
      </c>
      <c r="R436" s="163">
        <v>0</v>
      </c>
      <c r="S436" s="163">
        <v>0</v>
      </c>
      <c r="T436" s="164">
        <v>0</v>
      </c>
      <c r="U436" s="1"/>
    </row>
    <row r="437" spans="2:21" ht="12.5" x14ac:dyDescent="0.25">
      <c r="B437" s="40" t="s">
        <v>523</v>
      </c>
      <c r="C437" s="41" t="s">
        <v>184</v>
      </c>
      <c r="D437" s="219" t="s">
        <v>72</v>
      </c>
      <c r="E437" s="219" t="s">
        <v>202</v>
      </c>
      <c r="F437" s="19" t="s">
        <v>23</v>
      </c>
      <c r="G437" s="19" t="s">
        <v>181</v>
      </c>
      <c r="H437" s="20">
        <v>44314</v>
      </c>
      <c r="I437" s="193">
        <v>20.010000000000002</v>
      </c>
      <c r="J437" s="194">
        <v>44316</v>
      </c>
      <c r="K437" s="195">
        <v>4310</v>
      </c>
      <c r="L437" s="195">
        <v>4770</v>
      </c>
      <c r="M437" s="196">
        <v>2477788275</v>
      </c>
      <c r="N437" s="196">
        <v>715357500</v>
      </c>
      <c r="O437" s="196">
        <v>3193145775</v>
      </c>
      <c r="P437" s="195">
        <v>591268544.57920563</v>
      </c>
      <c r="Q437" s="197">
        <v>7.2683684162704057E-2</v>
      </c>
      <c r="R437" s="163">
        <v>0.15698319047763273</v>
      </c>
      <c r="S437" s="163">
        <v>0.12132978162764636</v>
      </c>
      <c r="T437" s="164">
        <v>4.5777447981342947E-3</v>
      </c>
      <c r="U437" s="1"/>
    </row>
    <row r="438" spans="2:21" ht="12.5" x14ac:dyDescent="0.25">
      <c r="B438" s="40" t="s">
        <v>489</v>
      </c>
      <c r="C438" s="41" t="s">
        <v>179</v>
      </c>
      <c r="D438" s="219" t="s">
        <v>86</v>
      </c>
      <c r="E438" s="219" t="s">
        <v>348</v>
      </c>
      <c r="F438" s="19" t="s">
        <v>24</v>
      </c>
      <c r="G438" s="19" t="s">
        <v>412</v>
      </c>
      <c r="H438" s="20">
        <v>44301</v>
      </c>
      <c r="I438" s="193">
        <v>25</v>
      </c>
      <c r="J438" s="194">
        <v>44305</v>
      </c>
      <c r="K438" s="195">
        <v>0</v>
      </c>
      <c r="L438" s="195">
        <v>290</v>
      </c>
      <c r="M438" s="196">
        <v>207182325</v>
      </c>
      <c r="N438" s="196">
        <v>918282900</v>
      </c>
      <c r="O438" s="196">
        <v>1125465225</v>
      </c>
      <c r="P438" s="195">
        <v>200139635.27403349</v>
      </c>
      <c r="Q438" s="197">
        <v>0</v>
      </c>
      <c r="R438" s="163">
        <v>0.37950826068393184</v>
      </c>
      <c r="S438" s="163">
        <v>0.35111595740330404</v>
      </c>
      <c r="T438" s="164">
        <v>6.3493432238210648E-2</v>
      </c>
      <c r="U438" s="1"/>
    </row>
    <row r="439" spans="2:21" ht="12.5" x14ac:dyDescent="0.25">
      <c r="B439" s="40" t="s">
        <v>398</v>
      </c>
      <c r="C439" s="41" t="s">
        <v>184</v>
      </c>
      <c r="D439" s="219" t="s">
        <v>131</v>
      </c>
      <c r="E439" s="219" t="s">
        <v>204</v>
      </c>
      <c r="F439" s="19" t="s">
        <v>24</v>
      </c>
      <c r="G439" s="19" t="s">
        <v>412</v>
      </c>
      <c r="H439" s="20">
        <v>44306</v>
      </c>
      <c r="I439" s="193">
        <v>25.5</v>
      </c>
      <c r="J439" s="194">
        <v>44309</v>
      </c>
      <c r="K439" s="195">
        <v>0</v>
      </c>
      <c r="L439" s="195">
        <v>155</v>
      </c>
      <c r="M439" s="196">
        <v>0</v>
      </c>
      <c r="N439" s="196">
        <v>896650227</v>
      </c>
      <c r="O439" s="196">
        <v>896650227</v>
      </c>
      <c r="P439" s="195">
        <v>162242649.54945174</v>
      </c>
      <c r="Q439" s="197">
        <v>0</v>
      </c>
      <c r="R439" s="163">
        <v>0.80158505218334153</v>
      </c>
      <c r="S439" s="163">
        <v>0.1984149478166585</v>
      </c>
      <c r="T439" s="164">
        <v>0</v>
      </c>
      <c r="U439" s="1"/>
    </row>
    <row r="440" spans="2:21" ht="12.5" x14ac:dyDescent="0.25">
      <c r="B440" s="40" t="s">
        <v>441</v>
      </c>
      <c r="C440" s="41" t="s">
        <v>179</v>
      </c>
      <c r="D440" s="219" t="s">
        <v>136</v>
      </c>
      <c r="E440" s="219" t="s">
        <v>524</v>
      </c>
      <c r="F440" s="19" t="s">
        <v>24</v>
      </c>
      <c r="G440" s="19" t="s">
        <v>412</v>
      </c>
      <c r="H440" s="20">
        <v>44306</v>
      </c>
      <c r="I440" s="193">
        <v>15</v>
      </c>
      <c r="J440" s="194">
        <v>44309</v>
      </c>
      <c r="K440" s="195">
        <v>0</v>
      </c>
      <c r="L440" s="195">
        <v>1058</v>
      </c>
      <c r="M440" s="196">
        <v>2025000000</v>
      </c>
      <c r="N440" s="196">
        <v>675000000</v>
      </c>
      <c r="O440" s="196">
        <v>2700000000</v>
      </c>
      <c r="P440" s="195">
        <v>488546303.33297145</v>
      </c>
      <c r="Q440" s="197">
        <v>2.4444444444444445E-5</v>
      </c>
      <c r="R440" s="163">
        <v>0.60717268888888887</v>
      </c>
      <c r="S440" s="163">
        <v>0.29644723888888891</v>
      </c>
      <c r="T440" s="164">
        <v>9.6355627777777772E-2</v>
      </c>
      <c r="U440" s="1"/>
    </row>
    <row r="441" spans="2:21" ht="12.5" x14ac:dyDescent="0.25">
      <c r="B441" s="40" t="s">
        <v>215</v>
      </c>
      <c r="C441" s="41" t="s">
        <v>179</v>
      </c>
      <c r="D441" s="219" t="s">
        <v>143</v>
      </c>
      <c r="E441" s="219" t="s">
        <v>204</v>
      </c>
      <c r="F441" s="19" t="s">
        <v>24</v>
      </c>
      <c r="G441" s="19" t="s">
        <v>412</v>
      </c>
      <c r="H441" s="20">
        <v>44315</v>
      </c>
      <c r="I441" s="193">
        <v>39</v>
      </c>
      <c r="J441" s="194">
        <v>44319</v>
      </c>
      <c r="K441" s="195">
        <v>2205</v>
      </c>
      <c r="L441" s="195">
        <v>3160</v>
      </c>
      <c r="M441" s="196">
        <v>3978000000</v>
      </c>
      <c r="N441" s="196">
        <v>0</v>
      </c>
      <c r="O441" s="196">
        <v>3978000000</v>
      </c>
      <c r="P441" s="195">
        <v>741306697.47679925</v>
      </c>
      <c r="Q441" s="197">
        <v>2.4875882352941177E-3</v>
      </c>
      <c r="R441" s="163">
        <v>0.50064655882352938</v>
      </c>
      <c r="S441" s="163">
        <v>0.49685275490196079</v>
      </c>
      <c r="T441" s="164">
        <v>1.3098039215686275E-5</v>
      </c>
      <c r="U441" s="1"/>
    </row>
    <row r="442" spans="2:21" ht="12.5" x14ac:dyDescent="0.25">
      <c r="B442" s="40" t="s">
        <v>525</v>
      </c>
      <c r="C442" s="41" t="s">
        <v>179</v>
      </c>
      <c r="D442" s="219" t="s">
        <v>146</v>
      </c>
      <c r="E442" s="219" t="s">
        <v>204</v>
      </c>
      <c r="F442" s="19" t="s">
        <v>23</v>
      </c>
      <c r="G442" s="19" t="s">
        <v>412</v>
      </c>
      <c r="H442" s="20">
        <v>44316</v>
      </c>
      <c r="I442" s="193">
        <v>16</v>
      </c>
      <c r="J442" s="194">
        <v>44320</v>
      </c>
      <c r="K442" s="195">
        <v>1</v>
      </c>
      <c r="L442" s="195">
        <v>137</v>
      </c>
      <c r="M442" s="196">
        <v>902388000</v>
      </c>
      <c r="N442" s="196">
        <v>0</v>
      </c>
      <c r="O442" s="196">
        <v>902388000</v>
      </c>
      <c r="P442" s="195">
        <v>166997557.1840995</v>
      </c>
      <c r="Q442" s="197">
        <v>5.5408538234107726E-4</v>
      </c>
      <c r="R442" s="163">
        <v>0.7127378998834204</v>
      </c>
      <c r="S442" s="163">
        <v>0.39543286479873402</v>
      </c>
      <c r="T442" s="164">
        <v>0</v>
      </c>
      <c r="U442" s="1"/>
    </row>
    <row r="443" spans="2:21" ht="12.5" x14ac:dyDescent="0.25">
      <c r="B443" s="40" t="s">
        <v>526</v>
      </c>
      <c r="C443" s="41" t="s">
        <v>179</v>
      </c>
      <c r="D443" s="219" t="s">
        <v>144</v>
      </c>
      <c r="E443" s="219" t="s">
        <v>204</v>
      </c>
      <c r="F443" s="19" t="s">
        <v>23</v>
      </c>
      <c r="G443" s="19" t="s">
        <v>181</v>
      </c>
      <c r="H443" s="20">
        <v>44319</v>
      </c>
      <c r="I443" s="193">
        <v>14.75</v>
      </c>
      <c r="J443" s="194">
        <v>44321</v>
      </c>
      <c r="K443" s="195">
        <v>2596</v>
      </c>
      <c r="L443" s="195">
        <v>2926</v>
      </c>
      <c r="M443" s="196">
        <v>1187375000</v>
      </c>
      <c r="N443" s="196">
        <v>0</v>
      </c>
      <c r="O443" s="196">
        <v>1187375000</v>
      </c>
      <c r="P443" s="195">
        <v>219530571.11690426</v>
      </c>
      <c r="Q443" s="197">
        <v>0.10086165217391305</v>
      </c>
      <c r="R443" s="163">
        <v>0.78770052173913041</v>
      </c>
      <c r="S443" s="163">
        <v>0.10678592546583851</v>
      </c>
      <c r="T443" s="164">
        <v>4.6519006211180125E-3</v>
      </c>
      <c r="U443" s="1"/>
    </row>
    <row r="444" spans="2:21" ht="12.5" x14ac:dyDescent="0.25">
      <c r="B444" s="40" t="s">
        <v>527</v>
      </c>
      <c r="C444" s="41" t="s">
        <v>179</v>
      </c>
      <c r="D444" s="219" t="s">
        <v>146</v>
      </c>
      <c r="E444" s="219" t="s">
        <v>348</v>
      </c>
      <c r="F444" s="19" t="s">
        <v>23</v>
      </c>
      <c r="G444" s="19" t="s">
        <v>181</v>
      </c>
      <c r="H444" s="20">
        <v>44334</v>
      </c>
      <c r="I444" s="193">
        <v>20</v>
      </c>
      <c r="J444" s="194">
        <v>44333</v>
      </c>
      <c r="K444" s="195">
        <v>1205</v>
      </c>
      <c r="L444" s="195">
        <v>1343</v>
      </c>
      <c r="M444" s="196">
        <v>321285160</v>
      </c>
      <c r="N444" s="196">
        <v>160754620</v>
      </c>
      <c r="O444" s="196">
        <v>482039780</v>
      </c>
      <c r="P444" s="195">
        <v>91663455.541188106</v>
      </c>
      <c r="Q444" s="197">
        <v>7.3762630520079406E-2</v>
      </c>
      <c r="R444" s="163">
        <v>0.79009904540801557</v>
      </c>
      <c r="S444" s="163">
        <v>0.13276912707942881</v>
      </c>
      <c r="T444" s="164">
        <v>3.3691969924762115E-3</v>
      </c>
      <c r="U444" s="1"/>
    </row>
    <row r="445" spans="2:21" ht="12.5" x14ac:dyDescent="0.25">
      <c r="B445" s="40" t="s">
        <v>528</v>
      </c>
      <c r="C445" s="41" t="s">
        <v>240</v>
      </c>
      <c r="D445" s="219" t="s">
        <v>156</v>
      </c>
      <c r="E445" s="219" t="s">
        <v>348</v>
      </c>
      <c r="F445" s="19" t="s">
        <v>23</v>
      </c>
      <c r="G445" s="19" t="s">
        <v>181</v>
      </c>
      <c r="H445" s="20">
        <v>44329</v>
      </c>
      <c r="I445" s="193">
        <v>7.16</v>
      </c>
      <c r="J445" s="194">
        <v>44333</v>
      </c>
      <c r="K445" s="195">
        <v>5124</v>
      </c>
      <c r="L445" s="195">
        <v>5387</v>
      </c>
      <c r="M445" s="196">
        <v>281062399</v>
      </c>
      <c r="N445" s="196">
        <v>0</v>
      </c>
      <c r="O445" s="196">
        <v>281062399</v>
      </c>
      <c r="P445" s="195">
        <v>53216396.667613365</v>
      </c>
      <c r="Q445" s="197">
        <v>0.60057128657559644</v>
      </c>
      <c r="R445" s="163">
        <v>1.8472871634348048E-2</v>
      </c>
      <c r="S445" s="163">
        <v>0.12862930278578835</v>
      </c>
      <c r="T445" s="164">
        <v>0.25232653900426721</v>
      </c>
      <c r="U445" s="1"/>
    </row>
    <row r="446" spans="2:21" ht="12.5" x14ac:dyDescent="0.25">
      <c r="B446" s="40" t="s">
        <v>500</v>
      </c>
      <c r="C446" s="41" t="s">
        <v>179</v>
      </c>
      <c r="D446" s="219" t="s">
        <v>136</v>
      </c>
      <c r="E446" s="219" t="s">
        <v>381</v>
      </c>
      <c r="F446" s="19" t="s">
        <v>24</v>
      </c>
      <c r="G446" s="19" t="s">
        <v>412</v>
      </c>
      <c r="H446" s="20">
        <v>44342</v>
      </c>
      <c r="I446" s="193">
        <v>71</v>
      </c>
      <c r="J446" s="194">
        <v>44344</v>
      </c>
      <c r="K446" s="195">
        <v>0</v>
      </c>
      <c r="L446" s="195">
        <v>2362</v>
      </c>
      <c r="M446" s="196">
        <v>1777840000</v>
      </c>
      <c r="N446" s="196">
        <v>3111220000</v>
      </c>
      <c r="O446" s="196">
        <v>4889060000</v>
      </c>
      <c r="P446" s="195">
        <v>935150437.06126499</v>
      </c>
      <c r="Q446" s="197">
        <v>3.8498402555910545E-5</v>
      </c>
      <c r="R446" s="163">
        <v>0.49615312227708391</v>
      </c>
      <c r="S446" s="163">
        <v>0.47844478652338079</v>
      </c>
      <c r="T446" s="164">
        <v>2.5363592796979379E-2</v>
      </c>
      <c r="U446" s="1"/>
    </row>
    <row r="447" spans="2:21" ht="12.5" x14ac:dyDescent="0.25">
      <c r="B447" s="40" t="s">
        <v>529</v>
      </c>
      <c r="C447" s="41" t="s">
        <v>179</v>
      </c>
      <c r="D447" s="219" t="s">
        <v>117</v>
      </c>
      <c r="E447" s="219" t="s">
        <v>348</v>
      </c>
      <c r="F447" s="19" t="s">
        <v>23</v>
      </c>
      <c r="G447" s="19" t="s">
        <v>412</v>
      </c>
      <c r="H447" s="20">
        <v>44343</v>
      </c>
      <c r="I447" s="193">
        <v>13.2</v>
      </c>
      <c r="J447" s="194">
        <v>44347</v>
      </c>
      <c r="K447" s="195">
        <v>0</v>
      </c>
      <c r="L447" s="195">
        <v>24</v>
      </c>
      <c r="M447" s="196">
        <v>390720000</v>
      </c>
      <c r="N447" s="196">
        <v>0</v>
      </c>
      <c r="O447" s="196">
        <v>390720000</v>
      </c>
      <c r="P447" s="195">
        <v>74676044.493712023</v>
      </c>
      <c r="Q447" s="197">
        <v>0</v>
      </c>
      <c r="R447" s="163">
        <v>0.45494425675675676</v>
      </c>
      <c r="S447" s="163">
        <v>0.51856418918918923</v>
      </c>
      <c r="T447" s="164">
        <v>6.6163851351351347E-2</v>
      </c>
      <c r="U447" s="1"/>
    </row>
    <row r="448" spans="2:21" ht="12.5" x14ac:dyDescent="0.25">
      <c r="B448" s="40" t="s">
        <v>360</v>
      </c>
      <c r="C448" s="41" t="s">
        <v>179</v>
      </c>
      <c r="D448" s="219" t="s">
        <v>59</v>
      </c>
      <c r="E448" s="219" t="s">
        <v>348</v>
      </c>
      <c r="F448" s="19" t="s">
        <v>24</v>
      </c>
      <c r="G448" s="19" t="s">
        <v>412</v>
      </c>
      <c r="H448" s="20">
        <v>44369</v>
      </c>
      <c r="I448" s="193">
        <v>12.5</v>
      </c>
      <c r="J448" s="194">
        <v>44371</v>
      </c>
      <c r="K448" s="195">
        <v>0</v>
      </c>
      <c r="L448" s="195">
        <v>7</v>
      </c>
      <c r="M448" s="196">
        <v>1720439300</v>
      </c>
      <c r="N448" s="196">
        <v>250000000</v>
      </c>
      <c r="O448" s="196">
        <v>1970439300</v>
      </c>
      <c r="P448" s="195">
        <v>392689884.012914</v>
      </c>
      <c r="Q448" s="197">
        <v>0</v>
      </c>
      <c r="R448" s="163">
        <v>0.12687526076037967</v>
      </c>
      <c r="S448" s="163">
        <v>0</v>
      </c>
      <c r="T448" s="164">
        <v>0</v>
      </c>
      <c r="U448" s="1"/>
    </row>
    <row r="449" spans="2:21" ht="12.5" x14ac:dyDescent="0.25">
      <c r="B449" s="40" t="s">
        <v>445</v>
      </c>
      <c r="C449" s="41" t="s">
        <v>184</v>
      </c>
      <c r="D449" s="219" t="s">
        <v>72</v>
      </c>
      <c r="E449" s="219" t="s">
        <v>530</v>
      </c>
      <c r="F449" s="19" t="s">
        <v>24</v>
      </c>
      <c r="G449" s="19" t="s">
        <v>412</v>
      </c>
      <c r="H449" s="20">
        <v>44355</v>
      </c>
      <c r="I449" s="193">
        <v>40.67</v>
      </c>
      <c r="J449" s="194">
        <v>44357</v>
      </c>
      <c r="K449" s="195">
        <v>0</v>
      </c>
      <c r="L449" s="195">
        <v>2059</v>
      </c>
      <c r="M449" s="196">
        <v>2977288020</v>
      </c>
      <c r="N449" s="196">
        <v>0</v>
      </c>
      <c r="O449" s="196">
        <v>2977288020</v>
      </c>
      <c r="P449" s="195">
        <v>589690431.57915592</v>
      </c>
      <c r="Q449" s="197">
        <v>0</v>
      </c>
      <c r="R449" s="163">
        <v>0.5012667404311123</v>
      </c>
      <c r="S449" s="163">
        <v>0.20916318334562742</v>
      </c>
      <c r="T449" s="164">
        <v>0.36788332923530864</v>
      </c>
      <c r="U449" s="1"/>
    </row>
    <row r="450" spans="2:21" ht="12.5" x14ac:dyDescent="0.25">
      <c r="B450" s="40" t="s">
        <v>450</v>
      </c>
      <c r="C450" s="41" t="s">
        <v>184</v>
      </c>
      <c r="D450" s="219" t="s">
        <v>72</v>
      </c>
      <c r="E450" s="219" t="s">
        <v>190</v>
      </c>
      <c r="F450" s="19" t="s">
        <v>24</v>
      </c>
      <c r="G450" s="19" t="s">
        <v>412</v>
      </c>
      <c r="H450" s="20">
        <v>44371</v>
      </c>
      <c r="I450" s="193">
        <v>19.28</v>
      </c>
      <c r="J450" s="194">
        <v>44375</v>
      </c>
      <c r="K450" s="195">
        <v>18015</v>
      </c>
      <c r="L450" s="195">
        <v>20757</v>
      </c>
      <c r="M450" s="196">
        <v>5499999970.2400007</v>
      </c>
      <c r="N450" s="196">
        <v>0</v>
      </c>
      <c r="O450" s="196">
        <v>5499999970.2400007</v>
      </c>
      <c r="P450" s="195">
        <v>1112909747.1145287</v>
      </c>
      <c r="Q450" s="197">
        <v>1.7718127295871175E-2</v>
      </c>
      <c r="R450" s="163">
        <v>0.24556764015056232</v>
      </c>
      <c r="S450" s="163">
        <v>0.73662824725855569</v>
      </c>
      <c r="T450" s="164">
        <v>8.5985295010713162E-5</v>
      </c>
      <c r="U450" s="1"/>
    </row>
    <row r="451" spans="2:21" ht="12.5" x14ac:dyDescent="0.25">
      <c r="B451" s="40" t="s">
        <v>531</v>
      </c>
      <c r="C451" s="41" t="s">
        <v>184</v>
      </c>
      <c r="D451" s="219" t="s">
        <v>72</v>
      </c>
      <c r="E451" s="219" t="s">
        <v>348</v>
      </c>
      <c r="F451" s="19" t="s">
        <v>23</v>
      </c>
      <c r="G451" s="19" t="s">
        <v>412</v>
      </c>
      <c r="H451" s="20">
        <v>44364</v>
      </c>
      <c r="I451" s="193">
        <v>16</v>
      </c>
      <c r="J451" s="194">
        <v>44368</v>
      </c>
      <c r="K451" s="195">
        <v>0</v>
      </c>
      <c r="L451" s="195">
        <v>84</v>
      </c>
      <c r="M451" s="196">
        <v>1092000000</v>
      </c>
      <c r="N451" s="196">
        <v>0</v>
      </c>
      <c r="O451" s="196">
        <v>1092000000</v>
      </c>
      <c r="P451" s="195">
        <v>216843066.78051591</v>
      </c>
      <c r="Q451" s="197">
        <v>0</v>
      </c>
      <c r="R451" s="163">
        <v>0.34102564102564104</v>
      </c>
      <c r="S451" s="163">
        <v>2.564102564102564E-2</v>
      </c>
      <c r="T451" s="164">
        <v>0</v>
      </c>
      <c r="U451" s="1"/>
    </row>
    <row r="452" spans="2:21" ht="12.5" x14ac:dyDescent="0.25">
      <c r="B452" s="40" t="s">
        <v>474</v>
      </c>
      <c r="C452" s="41" t="s">
        <v>179</v>
      </c>
      <c r="D452" s="219" t="s">
        <v>143</v>
      </c>
      <c r="E452" s="219" t="s">
        <v>204</v>
      </c>
      <c r="F452" s="19" t="s">
        <v>24</v>
      </c>
      <c r="G452" s="19" t="s">
        <v>412</v>
      </c>
      <c r="H452" s="20">
        <v>44397</v>
      </c>
      <c r="I452" s="193">
        <v>19.2</v>
      </c>
      <c r="J452" s="194">
        <v>44399</v>
      </c>
      <c r="K452" s="195">
        <v>289</v>
      </c>
      <c r="L452" s="195">
        <v>599</v>
      </c>
      <c r="M452" s="196">
        <v>883435584</v>
      </c>
      <c r="N452" s="196">
        <v>0</v>
      </c>
      <c r="O452" s="196">
        <v>883435584</v>
      </c>
      <c r="P452" s="195">
        <v>168385701.70589918</v>
      </c>
      <c r="Q452" s="197">
        <v>2.4384582634153886E-3</v>
      </c>
      <c r="R452" s="163">
        <v>0.90177480919763353</v>
      </c>
      <c r="S452" s="163">
        <v>9.576028307231961E-2</v>
      </c>
      <c r="T452" s="164">
        <v>2.6449466631400709E-5</v>
      </c>
      <c r="U452" s="1"/>
    </row>
    <row r="453" spans="2:21" ht="12.5" x14ac:dyDescent="0.25">
      <c r="B453" s="40" t="s">
        <v>377</v>
      </c>
      <c r="C453" s="41" t="s">
        <v>179</v>
      </c>
      <c r="D453" s="219" t="s">
        <v>125</v>
      </c>
      <c r="E453" s="219" t="s">
        <v>204</v>
      </c>
      <c r="F453" s="19" t="s">
        <v>24</v>
      </c>
      <c r="G453" s="19" t="s">
        <v>412</v>
      </c>
      <c r="H453" s="20">
        <v>44399</v>
      </c>
      <c r="I453" s="193">
        <v>22.75</v>
      </c>
      <c r="J453" s="194">
        <v>44403</v>
      </c>
      <c r="K453" s="195">
        <v>2827</v>
      </c>
      <c r="L453" s="195">
        <v>3979</v>
      </c>
      <c r="M453" s="196">
        <v>3981250000</v>
      </c>
      <c r="N453" s="196">
        <v>0</v>
      </c>
      <c r="O453" s="196">
        <v>3981250000</v>
      </c>
      <c r="P453" s="195">
        <v>765949055.36957943</v>
      </c>
      <c r="Q453" s="197">
        <v>1.28644E-3</v>
      </c>
      <c r="R453" s="163">
        <v>0.31076097714285716</v>
      </c>
      <c r="S453" s="163">
        <v>0.68788002285714289</v>
      </c>
      <c r="T453" s="164">
        <v>7.2559999999999996E-5</v>
      </c>
      <c r="U453" s="1"/>
    </row>
    <row r="454" spans="2:21" ht="12.5" x14ac:dyDescent="0.25">
      <c r="B454" s="40" t="s">
        <v>493</v>
      </c>
      <c r="C454" s="41" t="s">
        <v>179</v>
      </c>
      <c r="D454" s="219" t="s">
        <v>146</v>
      </c>
      <c r="E454" s="219" t="s">
        <v>348</v>
      </c>
      <c r="F454" s="19" t="s">
        <v>24</v>
      </c>
      <c r="G454" s="19" t="s">
        <v>412</v>
      </c>
      <c r="H454" s="20">
        <v>44392</v>
      </c>
      <c r="I454" s="193">
        <v>57</v>
      </c>
      <c r="J454" s="194">
        <v>44396</v>
      </c>
      <c r="K454" s="195">
        <v>1</v>
      </c>
      <c r="L454" s="195">
        <v>1499</v>
      </c>
      <c r="M454" s="196">
        <v>427500000</v>
      </c>
      <c r="N454" s="196">
        <v>727660119</v>
      </c>
      <c r="O454" s="196">
        <v>1155160119</v>
      </c>
      <c r="P454" s="195">
        <v>226501984.11764708</v>
      </c>
      <c r="Q454" s="197">
        <v>9.5085519481996595E-4</v>
      </c>
      <c r="R454" s="163">
        <v>0.54758813137315387</v>
      </c>
      <c r="S454" s="163">
        <v>0.20196258091212721</v>
      </c>
      <c r="T454" s="164">
        <v>0.11303048110164197</v>
      </c>
      <c r="U454" s="1"/>
    </row>
    <row r="455" spans="2:21" ht="12.5" x14ac:dyDescent="0.25">
      <c r="B455" s="40" t="s">
        <v>532</v>
      </c>
      <c r="C455" s="41" t="s">
        <v>179</v>
      </c>
      <c r="D455" s="219" t="s">
        <v>106</v>
      </c>
      <c r="E455" s="219" t="s">
        <v>348</v>
      </c>
      <c r="F455" s="19" t="s">
        <v>23</v>
      </c>
      <c r="G455" s="19" t="s">
        <v>412</v>
      </c>
      <c r="H455" s="20">
        <v>44384</v>
      </c>
      <c r="I455" s="193">
        <v>12.25</v>
      </c>
      <c r="J455" s="194">
        <v>44389</v>
      </c>
      <c r="K455" s="195">
        <v>20</v>
      </c>
      <c r="L455" s="195">
        <v>81</v>
      </c>
      <c r="M455" s="196">
        <v>1152941175.75</v>
      </c>
      <c r="N455" s="196">
        <v>192156868.75</v>
      </c>
      <c r="O455" s="196">
        <v>1345098044.5</v>
      </c>
      <c r="P455" s="195">
        <v>257051300.35545024</v>
      </c>
      <c r="Q455" s="197">
        <v>6.211089618456434E-3</v>
      </c>
      <c r="R455" s="163">
        <v>0.98500678327318769</v>
      </c>
      <c r="S455" s="163">
        <v>0.1586129409840206</v>
      </c>
      <c r="T455" s="164">
        <v>1.6918339219249381E-4</v>
      </c>
      <c r="U455" s="1"/>
    </row>
    <row r="456" spans="2:21" ht="12.5" x14ac:dyDescent="0.25">
      <c r="B456" s="40" t="s">
        <v>533</v>
      </c>
      <c r="C456" s="41" t="s">
        <v>179</v>
      </c>
      <c r="D456" s="219" t="s">
        <v>146</v>
      </c>
      <c r="E456" s="219" t="s">
        <v>348</v>
      </c>
      <c r="F456" s="19" t="s">
        <v>23</v>
      </c>
      <c r="G456" s="19" t="s">
        <v>412</v>
      </c>
      <c r="H456" s="20">
        <v>44399</v>
      </c>
      <c r="I456" s="193">
        <v>23.2</v>
      </c>
      <c r="J456" s="194">
        <v>44400</v>
      </c>
      <c r="K456" s="195">
        <v>0</v>
      </c>
      <c r="L456" s="195">
        <v>35</v>
      </c>
      <c r="M456" s="196">
        <v>450080000</v>
      </c>
      <c r="N456" s="196">
        <v>0</v>
      </c>
      <c r="O456" s="196">
        <v>450080000</v>
      </c>
      <c r="P456" s="195">
        <v>86590480.587941051</v>
      </c>
      <c r="Q456" s="197">
        <v>0</v>
      </c>
      <c r="R456" s="163">
        <v>0.9503061855670103</v>
      </c>
      <c r="S456" s="163">
        <v>5.6765979381443302E-2</v>
      </c>
      <c r="T456" s="164">
        <v>0</v>
      </c>
      <c r="U456" s="1"/>
    </row>
    <row r="457" spans="2:21" ht="12.5" x14ac:dyDescent="0.25">
      <c r="B457" s="40" t="s">
        <v>534</v>
      </c>
      <c r="C457" s="41" t="s">
        <v>179</v>
      </c>
      <c r="D457" s="219" t="s">
        <v>157</v>
      </c>
      <c r="E457" s="219" t="s">
        <v>204</v>
      </c>
      <c r="F457" s="19" t="s">
        <v>23</v>
      </c>
      <c r="G457" s="19" t="s">
        <v>181</v>
      </c>
      <c r="H457" s="20">
        <v>44389</v>
      </c>
      <c r="I457" s="193">
        <v>23</v>
      </c>
      <c r="J457" s="194">
        <v>44391</v>
      </c>
      <c r="K457" s="195">
        <v>16164</v>
      </c>
      <c r="L457" s="195">
        <v>17305</v>
      </c>
      <c r="M457" s="196">
        <v>2645000000</v>
      </c>
      <c r="N457" s="196">
        <v>0</v>
      </c>
      <c r="O457" s="196">
        <v>2645000000</v>
      </c>
      <c r="P457" s="195">
        <v>506326690.78657705</v>
      </c>
      <c r="Q457" s="197">
        <v>9.4812504347826093E-2</v>
      </c>
      <c r="R457" s="163">
        <v>0.40513107826086958</v>
      </c>
      <c r="S457" s="163">
        <v>0.30761015652173912</v>
      </c>
      <c r="T457" s="164">
        <v>0.19244626086956521</v>
      </c>
      <c r="U457" s="1"/>
    </row>
    <row r="458" spans="2:21" ht="12.5" x14ac:dyDescent="0.25">
      <c r="B458" s="40" t="s">
        <v>535</v>
      </c>
      <c r="C458" s="41" t="s">
        <v>179</v>
      </c>
      <c r="D458" s="219" t="s">
        <v>150</v>
      </c>
      <c r="E458" s="219" t="s">
        <v>536</v>
      </c>
      <c r="F458" s="19" t="s">
        <v>23</v>
      </c>
      <c r="G458" s="19" t="s">
        <v>181</v>
      </c>
      <c r="H458" s="20">
        <v>44397</v>
      </c>
      <c r="I458" s="193">
        <v>11.1</v>
      </c>
      <c r="J458" s="194">
        <v>44399</v>
      </c>
      <c r="K458" s="195">
        <v>18708</v>
      </c>
      <c r="L458" s="195">
        <v>19331</v>
      </c>
      <c r="M458" s="196">
        <v>1912676941.8</v>
      </c>
      <c r="N458" s="196">
        <v>0</v>
      </c>
      <c r="O458" s="196">
        <v>1912676941.8</v>
      </c>
      <c r="P458" s="195">
        <v>365558836.01544285</v>
      </c>
      <c r="Q458" s="197">
        <v>0.12056232731231015</v>
      </c>
      <c r="R458" s="163">
        <v>0.74760222427019796</v>
      </c>
      <c r="S458" s="163">
        <v>0.27520215829267858</v>
      </c>
      <c r="T458" s="164">
        <v>6.6332860624440234E-3</v>
      </c>
      <c r="U458" s="1"/>
    </row>
    <row r="459" spans="2:21" ht="12.5" x14ac:dyDescent="0.25">
      <c r="B459" s="40" t="s">
        <v>537</v>
      </c>
      <c r="C459" s="41" t="s">
        <v>179</v>
      </c>
      <c r="D459" s="219" t="s">
        <v>150</v>
      </c>
      <c r="E459" s="219" t="s">
        <v>204</v>
      </c>
      <c r="F459" s="19" t="s">
        <v>23</v>
      </c>
      <c r="G459" s="19" t="s">
        <v>181</v>
      </c>
      <c r="H459" s="20">
        <v>44396</v>
      </c>
      <c r="I459" s="193">
        <v>23.5</v>
      </c>
      <c r="J459" s="194">
        <v>44398</v>
      </c>
      <c r="K459" s="195">
        <v>8393</v>
      </c>
      <c r="L459" s="195">
        <v>8845</v>
      </c>
      <c r="M459" s="196">
        <v>715222500</v>
      </c>
      <c r="N459" s="196">
        <v>0</v>
      </c>
      <c r="O459" s="196">
        <v>715222500</v>
      </c>
      <c r="P459" s="195">
        <v>136191351.20725113</v>
      </c>
      <c r="Q459" s="197">
        <v>0.13538975057741184</v>
      </c>
      <c r="R459" s="163">
        <v>1.0877674117453784</v>
      </c>
      <c r="S459" s="163">
        <v>0.12584238347877347</v>
      </c>
      <c r="T459" s="164">
        <v>3.9416306690246332E-3</v>
      </c>
      <c r="U459" s="1"/>
    </row>
    <row r="460" spans="2:21" ht="12.5" x14ac:dyDescent="0.25">
      <c r="B460" s="40" t="s">
        <v>538</v>
      </c>
      <c r="C460" s="41" t="s">
        <v>179</v>
      </c>
      <c r="D460" s="219" t="s">
        <v>152</v>
      </c>
      <c r="E460" s="219" t="s">
        <v>381</v>
      </c>
      <c r="F460" s="19" t="s">
        <v>23</v>
      </c>
      <c r="G460" s="19" t="s">
        <v>181</v>
      </c>
      <c r="H460" s="20">
        <v>44390</v>
      </c>
      <c r="I460" s="193">
        <v>11.2</v>
      </c>
      <c r="J460" s="194">
        <v>44392</v>
      </c>
      <c r="K460" s="195">
        <v>7782</v>
      </c>
      <c r="L460" s="195">
        <v>8191</v>
      </c>
      <c r="M460" s="196">
        <v>700000000</v>
      </c>
      <c r="N460" s="196">
        <v>910000000</v>
      </c>
      <c r="O460" s="196">
        <v>1610000000</v>
      </c>
      <c r="P460" s="195">
        <v>315686274.50980395</v>
      </c>
      <c r="Q460" s="197">
        <v>0.1055669008695652</v>
      </c>
      <c r="R460" s="163">
        <v>0.57626807652173906</v>
      </c>
      <c r="S460" s="163">
        <v>0.28857176347826086</v>
      </c>
      <c r="T460" s="164">
        <v>0.16002804173913043</v>
      </c>
      <c r="U460" s="1"/>
    </row>
    <row r="461" spans="2:21" ht="12.5" x14ac:dyDescent="0.25">
      <c r="B461" s="40" t="s">
        <v>439</v>
      </c>
      <c r="C461" s="41" t="s">
        <v>179</v>
      </c>
      <c r="D461" s="219" t="s">
        <v>144</v>
      </c>
      <c r="E461" s="219" t="s">
        <v>185</v>
      </c>
      <c r="F461" s="19" t="s">
        <v>24</v>
      </c>
      <c r="G461" s="19" t="s">
        <v>181</v>
      </c>
      <c r="H461" s="20">
        <v>44378</v>
      </c>
      <c r="I461" s="193">
        <v>26</v>
      </c>
      <c r="J461" s="194">
        <v>44379</v>
      </c>
      <c r="K461" s="195">
        <v>4859</v>
      </c>
      <c r="L461" s="195">
        <v>5795</v>
      </c>
      <c r="M461" s="196">
        <v>0</v>
      </c>
      <c r="N461" s="196">
        <v>11358750000</v>
      </c>
      <c r="O461" s="196">
        <v>11358750000</v>
      </c>
      <c r="P461" s="195">
        <v>2258515101.5051794</v>
      </c>
      <c r="Q461" s="197">
        <v>6.189990042918455E-2</v>
      </c>
      <c r="R461" s="163">
        <v>0.59253524234620891</v>
      </c>
      <c r="S461" s="163">
        <v>0.34119225865522174</v>
      </c>
      <c r="T461" s="164">
        <v>4.3725985693848354E-3</v>
      </c>
      <c r="U461" s="1"/>
    </row>
    <row r="462" spans="2:21" ht="12.5" x14ac:dyDescent="0.25">
      <c r="B462" s="40" t="s">
        <v>539</v>
      </c>
      <c r="C462" s="41" t="s">
        <v>179</v>
      </c>
      <c r="D462" s="219" t="s">
        <v>106</v>
      </c>
      <c r="E462" s="219" t="s">
        <v>204</v>
      </c>
      <c r="F462" s="19" t="s">
        <v>23</v>
      </c>
      <c r="G462" s="19" t="s">
        <v>412</v>
      </c>
      <c r="H462" s="20">
        <v>44399</v>
      </c>
      <c r="I462" s="193">
        <v>13.75</v>
      </c>
      <c r="J462" s="194">
        <v>44403</v>
      </c>
      <c r="K462" s="195">
        <v>0</v>
      </c>
      <c r="L462" s="195">
        <v>120</v>
      </c>
      <c r="M462" s="196">
        <v>349999993.75</v>
      </c>
      <c r="N462" s="196">
        <v>0</v>
      </c>
      <c r="O462" s="196">
        <v>349999993.75</v>
      </c>
      <c r="P462" s="195">
        <v>67485489.414418757</v>
      </c>
      <c r="Q462" s="197">
        <v>0</v>
      </c>
      <c r="R462" s="163">
        <v>0</v>
      </c>
      <c r="S462" s="163">
        <v>0</v>
      </c>
      <c r="T462" s="164">
        <v>0</v>
      </c>
      <c r="U462" s="1"/>
    </row>
    <row r="463" spans="2:21" ht="12.5" x14ac:dyDescent="0.25">
      <c r="B463" s="40" t="s">
        <v>540</v>
      </c>
      <c r="C463" s="41" t="s">
        <v>179</v>
      </c>
      <c r="D463" s="268" t="s">
        <v>158</v>
      </c>
      <c r="E463" s="219" t="s">
        <v>457</v>
      </c>
      <c r="F463" s="19" t="s">
        <v>23</v>
      </c>
      <c r="G463" s="19" t="s">
        <v>181</v>
      </c>
      <c r="H463" s="20">
        <v>44400</v>
      </c>
      <c r="I463" s="193">
        <v>8.6</v>
      </c>
      <c r="J463" s="194">
        <v>44404</v>
      </c>
      <c r="K463" s="195">
        <v>9372</v>
      </c>
      <c r="L463" s="195">
        <v>9957</v>
      </c>
      <c r="M463" s="196">
        <v>863420899.39999998</v>
      </c>
      <c r="N463" s="196">
        <v>0</v>
      </c>
      <c r="O463" s="196">
        <v>863420899.39999998</v>
      </c>
      <c r="P463" s="195">
        <v>167106175.7339991</v>
      </c>
      <c r="Q463" s="197">
        <v>0.13741440893893783</v>
      </c>
      <c r="R463" s="163">
        <v>0.57668200068671305</v>
      </c>
      <c r="S463" s="163">
        <v>0.26737908447076225</v>
      </c>
      <c r="T463" s="164">
        <v>1.7299031783209139E-2</v>
      </c>
      <c r="U463" s="1"/>
    </row>
    <row r="464" spans="2:21" ht="12.5" x14ac:dyDescent="0.25">
      <c r="B464" s="40" t="s">
        <v>541</v>
      </c>
      <c r="C464" s="41" t="s">
        <v>179</v>
      </c>
      <c r="D464" s="219" t="s">
        <v>101</v>
      </c>
      <c r="E464" s="219" t="s">
        <v>211</v>
      </c>
      <c r="F464" s="19" t="s">
        <v>23</v>
      </c>
      <c r="G464" s="19" t="s">
        <v>181</v>
      </c>
      <c r="H464" s="20">
        <v>44403</v>
      </c>
      <c r="I464" s="193">
        <v>16.63</v>
      </c>
      <c r="J464" s="194">
        <v>44405</v>
      </c>
      <c r="K464" s="195">
        <v>8076</v>
      </c>
      <c r="L464" s="195">
        <v>8716</v>
      </c>
      <c r="M464" s="196">
        <v>1000300752.8799999</v>
      </c>
      <c r="N464" s="196">
        <v>532483071.00999999</v>
      </c>
      <c r="O464" s="196">
        <v>1532783823.8899999</v>
      </c>
      <c r="P464" s="195">
        <v>297471970.79007119</v>
      </c>
      <c r="Q464" s="197">
        <v>0.1085082388643057</v>
      </c>
      <c r="R464" s="163">
        <v>0.60516811563544293</v>
      </c>
      <c r="S464" s="163">
        <v>0.28248616306579283</v>
      </c>
      <c r="T464" s="164">
        <v>3.8374824344584967E-3</v>
      </c>
      <c r="U464" s="1"/>
    </row>
    <row r="465" spans="2:21" ht="12.5" x14ac:dyDescent="0.25">
      <c r="B465" s="40" t="s">
        <v>542</v>
      </c>
      <c r="C465" s="41" t="s">
        <v>179</v>
      </c>
      <c r="D465" s="219" t="s">
        <v>146</v>
      </c>
      <c r="E465" s="219" t="s">
        <v>348</v>
      </c>
      <c r="F465" s="19" t="s">
        <v>23</v>
      </c>
      <c r="G465" s="19" t="s">
        <v>181</v>
      </c>
      <c r="H465" s="20">
        <v>44403</v>
      </c>
      <c r="I465" s="193">
        <v>9.5</v>
      </c>
      <c r="J465" s="194">
        <v>44405</v>
      </c>
      <c r="K465" s="195">
        <v>3762</v>
      </c>
      <c r="L465" s="195">
        <v>4230</v>
      </c>
      <c r="M465" s="196">
        <v>544930345.5</v>
      </c>
      <c r="N465" s="196">
        <v>0</v>
      </c>
      <c r="O465" s="196">
        <v>544930345.5</v>
      </c>
      <c r="P465" s="195">
        <v>105756272.53672831</v>
      </c>
      <c r="Q465" s="197">
        <v>0.10257094938683313</v>
      </c>
      <c r="R465" s="163">
        <v>0.69925371530564573</v>
      </c>
      <c r="S465" s="163">
        <v>2.3509721698243963E-2</v>
      </c>
      <c r="T465" s="164">
        <v>0.17466561360927718</v>
      </c>
      <c r="U465" s="1"/>
    </row>
    <row r="466" spans="2:21" ht="12.5" x14ac:dyDescent="0.25">
      <c r="B466" s="40" t="s">
        <v>543</v>
      </c>
      <c r="C466" s="41" t="s">
        <v>179</v>
      </c>
      <c r="D466" s="219" t="s">
        <v>158</v>
      </c>
      <c r="E466" s="219" t="s">
        <v>211</v>
      </c>
      <c r="F466" s="19" t="s">
        <v>23</v>
      </c>
      <c r="G466" s="19" t="s">
        <v>181</v>
      </c>
      <c r="H466" s="20">
        <v>44404</v>
      </c>
      <c r="I466" s="193">
        <v>13.92</v>
      </c>
      <c r="J466" s="194">
        <v>44406</v>
      </c>
      <c r="K466" s="195">
        <v>5965</v>
      </c>
      <c r="L466" s="195">
        <v>6183</v>
      </c>
      <c r="M466" s="196">
        <v>1340059997.76</v>
      </c>
      <c r="N466" s="196">
        <v>0</v>
      </c>
      <c r="O466" s="196">
        <v>1340059997.76</v>
      </c>
      <c r="P466" s="195">
        <v>264405508.41718954</v>
      </c>
      <c r="Q466" s="197">
        <v>0.1450352158086114</v>
      </c>
      <c r="R466" s="163">
        <v>0.77910457999665683</v>
      </c>
      <c r="S466" s="163">
        <v>7.3797487753256605E-2</v>
      </c>
      <c r="T466" s="164">
        <v>2.0627164414751199E-3</v>
      </c>
      <c r="U466" s="1"/>
    </row>
    <row r="467" spans="2:21" ht="12.5" x14ac:dyDescent="0.25">
      <c r="B467" s="40" t="s">
        <v>544</v>
      </c>
      <c r="C467" s="41" t="s">
        <v>179</v>
      </c>
      <c r="D467" s="219" t="s">
        <v>109</v>
      </c>
      <c r="E467" s="219" t="s">
        <v>204</v>
      </c>
      <c r="F467" s="19" t="s">
        <v>23</v>
      </c>
      <c r="G467" s="19" t="s">
        <v>181</v>
      </c>
      <c r="H467" s="20">
        <v>44405</v>
      </c>
      <c r="I467" s="193">
        <v>25</v>
      </c>
      <c r="J467" s="194">
        <v>44407</v>
      </c>
      <c r="K467" s="195">
        <v>7444</v>
      </c>
      <c r="L467" s="195">
        <v>8026</v>
      </c>
      <c r="M467" s="196">
        <v>795156250</v>
      </c>
      <c r="N467" s="196">
        <v>509967250</v>
      </c>
      <c r="O467" s="196">
        <v>1305123500</v>
      </c>
      <c r="P467" s="195">
        <v>254827300.06248048</v>
      </c>
      <c r="Q467" s="197">
        <v>9.6234015401607587E-2</v>
      </c>
      <c r="R467" s="163">
        <v>0.505568266144928</v>
      </c>
      <c r="S467" s="163">
        <v>0.39317903631342166</v>
      </c>
      <c r="T467" s="164">
        <v>6.5138280017178448E-3</v>
      </c>
      <c r="U467" s="1"/>
    </row>
    <row r="468" spans="2:21" ht="12.5" x14ac:dyDescent="0.25">
      <c r="B468" s="40" t="s">
        <v>545</v>
      </c>
      <c r="C468" s="41" t="s">
        <v>179</v>
      </c>
      <c r="D468" s="219" t="s">
        <v>133</v>
      </c>
      <c r="E468" s="219" t="s">
        <v>266</v>
      </c>
      <c r="F468" s="19" t="s">
        <v>23</v>
      </c>
      <c r="G468" s="19" t="s">
        <v>412</v>
      </c>
      <c r="H468" s="20">
        <v>44413</v>
      </c>
      <c r="I468" s="193">
        <v>19.920000000000002</v>
      </c>
      <c r="J468" s="194">
        <v>44417</v>
      </c>
      <c r="K468" s="195">
        <v>1</v>
      </c>
      <c r="L468" s="195">
        <v>215</v>
      </c>
      <c r="M468" s="196">
        <v>699999995.04000008</v>
      </c>
      <c r="N468" s="196">
        <v>1176980291.5200002</v>
      </c>
      <c r="O468" s="196">
        <v>1876980286.5600004</v>
      </c>
      <c r="P468" s="195">
        <v>355663828.12748712</v>
      </c>
      <c r="Q468" s="197">
        <v>6.8685985102315473E-5</v>
      </c>
      <c r="R468" s="163">
        <v>0.38145919682098506</v>
      </c>
      <c r="S468" s="163">
        <v>0.61146401354243107</v>
      </c>
      <c r="T468" s="164">
        <v>0</v>
      </c>
      <c r="U468" s="1"/>
    </row>
    <row r="469" spans="2:21" ht="12.5" x14ac:dyDescent="0.25">
      <c r="B469" s="40" t="s">
        <v>546</v>
      </c>
      <c r="C469" s="41" t="s">
        <v>184</v>
      </c>
      <c r="D469" s="219" t="s">
        <v>144</v>
      </c>
      <c r="E469" s="219" t="s">
        <v>348</v>
      </c>
      <c r="F469" s="19" t="s">
        <v>23</v>
      </c>
      <c r="G469" s="19" t="s">
        <v>181</v>
      </c>
      <c r="H469" s="20">
        <v>44411</v>
      </c>
      <c r="I469" s="193">
        <v>7.4</v>
      </c>
      <c r="J469" s="194">
        <v>44413</v>
      </c>
      <c r="K469" s="195">
        <v>82316</v>
      </c>
      <c r="L469" s="195">
        <v>85700</v>
      </c>
      <c r="M469" s="196">
        <v>6709671390</v>
      </c>
      <c r="N469" s="196">
        <v>0</v>
      </c>
      <c r="O469" s="196">
        <v>6709671390</v>
      </c>
      <c r="P469" s="195">
        <v>1288067303.3729434</v>
      </c>
      <c r="Q469" s="197">
        <v>0.14761923778803718</v>
      </c>
      <c r="R469" s="163">
        <v>0.36980073890026977</v>
      </c>
      <c r="S469" s="163">
        <v>0.49911008601570284</v>
      </c>
      <c r="T469" s="164">
        <v>1.1836485959411495E-2</v>
      </c>
      <c r="U469" s="1"/>
    </row>
    <row r="470" spans="2:21" ht="12.5" x14ac:dyDescent="0.25">
      <c r="B470" s="184" t="s">
        <v>547</v>
      </c>
      <c r="C470" s="74" t="s">
        <v>179</v>
      </c>
      <c r="D470" s="229" t="s">
        <v>136</v>
      </c>
      <c r="E470" s="229" t="s">
        <v>447</v>
      </c>
      <c r="F470" s="52" t="s">
        <v>23</v>
      </c>
      <c r="G470" s="52" t="s">
        <v>181</v>
      </c>
      <c r="H470" s="53">
        <v>44414</v>
      </c>
      <c r="I470" s="204">
        <v>19.75</v>
      </c>
      <c r="J470" s="233">
        <v>44418</v>
      </c>
      <c r="K470" s="264">
        <v>6528</v>
      </c>
      <c r="L470" s="264">
        <v>6914</v>
      </c>
      <c r="M470" s="265">
        <v>1780423533.25</v>
      </c>
      <c r="N470" s="265">
        <v>889239089</v>
      </c>
      <c r="O470" s="265">
        <v>2669662622.25</v>
      </c>
      <c r="P470" s="264">
        <v>511263117.80646145</v>
      </c>
      <c r="Q470" s="266">
        <v>0.11072559344306214</v>
      </c>
      <c r="R470" s="216">
        <v>0.6638166949944565</v>
      </c>
      <c r="S470" s="216">
        <v>0.3556375446483423</v>
      </c>
      <c r="T470" s="218">
        <v>1.5844453866414868E-2</v>
      </c>
      <c r="U470" s="1"/>
    </row>
    <row r="471" spans="2:21" ht="12.5" x14ac:dyDescent="0.25">
      <c r="B471" s="125" t="s">
        <v>548</v>
      </c>
      <c r="C471" s="126" t="s">
        <v>179</v>
      </c>
      <c r="D471" s="269" t="s">
        <v>136</v>
      </c>
      <c r="E471" s="269" t="s">
        <v>204</v>
      </c>
      <c r="F471" s="126" t="s">
        <v>23</v>
      </c>
      <c r="G471" s="126" t="s">
        <v>412</v>
      </c>
      <c r="H471" s="127">
        <v>44419</v>
      </c>
      <c r="I471" s="270">
        <v>7.2</v>
      </c>
      <c r="J471" s="271">
        <v>44421</v>
      </c>
      <c r="K471" s="272">
        <v>19</v>
      </c>
      <c r="L471" s="272">
        <v>80</v>
      </c>
      <c r="M471" s="273">
        <v>769920796.80000007</v>
      </c>
      <c r="N471" s="273">
        <v>0</v>
      </c>
      <c r="O471" s="273">
        <v>769920796.80000007</v>
      </c>
      <c r="P471" s="272">
        <v>146724243.77787095</v>
      </c>
      <c r="Q471" s="274">
        <v>1.6061111807078804E-3</v>
      </c>
      <c r="R471" s="275">
        <v>0.79753485728936213</v>
      </c>
      <c r="S471" s="275">
        <v>0.27233651054949654</v>
      </c>
      <c r="T471" s="276">
        <v>6.4900182210534618E-2</v>
      </c>
      <c r="U471" s="1"/>
    </row>
    <row r="472" spans="2:21" ht="12.5" x14ac:dyDescent="0.25">
      <c r="B472" s="125" t="s">
        <v>549</v>
      </c>
      <c r="C472" s="126" t="s">
        <v>179</v>
      </c>
      <c r="D472" s="269" t="s">
        <v>99</v>
      </c>
      <c r="E472" s="269" t="s">
        <v>457</v>
      </c>
      <c r="F472" s="126" t="s">
        <v>23</v>
      </c>
      <c r="G472" s="126" t="s">
        <v>412</v>
      </c>
      <c r="H472" s="127">
        <v>44439</v>
      </c>
      <c r="I472" s="270">
        <v>8.6</v>
      </c>
      <c r="J472" s="271">
        <v>44441</v>
      </c>
      <c r="K472" s="272">
        <v>2</v>
      </c>
      <c r="L472" s="272">
        <v>267</v>
      </c>
      <c r="M472" s="273">
        <v>71611907.599999994</v>
      </c>
      <c r="N472" s="273">
        <v>310388095.39999998</v>
      </c>
      <c r="O472" s="273">
        <v>382000003</v>
      </c>
      <c r="P472" s="272">
        <v>73837827.969459757</v>
      </c>
      <c r="Q472" s="274">
        <v>5.0955449861606415E-3</v>
      </c>
      <c r="R472" s="275">
        <v>1.0072587376393292</v>
      </c>
      <c r="S472" s="275">
        <v>0.11636587866728368</v>
      </c>
      <c r="T472" s="276">
        <v>5.0955449861606415E-3</v>
      </c>
      <c r="U472" s="1"/>
    </row>
    <row r="473" spans="2:21" ht="12.5" x14ac:dyDescent="0.25">
      <c r="B473" s="125" t="s">
        <v>452</v>
      </c>
      <c r="C473" s="126" t="s">
        <v>179</v>
      </c>
      <c r="D473" s="269" t="s">
        <v>83</v>
      </c>
      <c r="E473" s="269" t="s">
        <v>348</v>
      </c>
      <c r="F473" s="126" t="s">
        <v>24</v>
      </c>
      <c r="G473" s="126" t="s">
        <v>412</v>
      </c>
      <c r="H473" s="127">
        <v>44441</v>
      </c>
      <c r="I473" s="270">
        <v>23</v>
      </c>
      <c r="J473" s="271">
        <v>44445</v>
      </c>
      <c r="K473" s="272">
        <v>1</v>
      </c>
      <c r="L473" s="272">
        <v>1844</v>
      </c>
      <c r="M473" s="273">
        <v>400042680</v>
      </c>
      <c r="N473" s="273">
        <v>0</v>
      </c>
      <c r="O473" s="273">
        <v>400042680</v>
      </c>
      <c r="P473" s="272">
        <v>77268591.737005785</v>
      </c>
      <c r="Q473" s="274">
        <v>3.5071257896782414E-4</v>
      </c>
      <c r="R473" s="275">
        <v>0.54959679552191776</v>
      </c>
      <c r="S473" s="275">
        <v>0.19200427064432224</v>
      </c>
      <c r="T473" s="276">
        <v>0.25649588688886898</v>
      </c>
      <c r="U473" s="1"/>
    </row>
    <row r="474" spans="2:21" ht="12.5" x14ac:dyDescent="0.25">
      <c r="B474" s="125" t="s">
        <v>550</v>
      </c>
      <c r="C474" s="126" t="s">
        <v>179</v>
      </c>
      <c r="D474" s="269" t="s">
        <v>131</v>
      </c>
      <c r="E474" s="269" t="s">
        <v>190</v>
      </c>
      <c r="F474" s="126" t="s">
        <v>24</v>
      </c>
      <c r="G474" s="126" t="s">
        <v>412</v>
      </c>
      <c r="H474" s="127">
        <v>44467</v>
      </c>
      <c r="I474" s="270">
        <v>12</v>
      </c>
      <c r="J474" s="271">
        <v>44469</v>
      </c>
      <c r="K474" s="272">
        <v>2998</v>
      </c>
      <c r="L474" s="272">
        <v>3385</v>
      </c>
      <c r="M474" s="273">
        <v>1116000000</v>
      </c>
      <c r="N474" s="273">
        <v>0</v>
      </c>
      <c r="O474" s="273">
        <v>1116000000</v>
      </c>
      <c r="P474" s="272">
        <v>208683944.79973072</v>
      </c>
      <c r="Q474" s="274">
        <v>1.1760795698924732E-2</v>
      </c>
      <c r="R474" s="275">
        <v>0.2841796451612903</v>
      </c>
      <c r="S474" s="275">
        <v>0.19180716129032258</v>
      </c>
      <c r="T474" s="276">
        <v>0.51225239784946242</v>
      </c>
      <c r="U474" s="1"/>
    </row>
    <row r="475" spans="2:21" ht="12.5" x14ac:dyDescent="0.25">
      <c r="B475" s="125" t="s">
        <v>230</v>
      </c>
      <c r="C475" s="126" t="s">
        <v>179</v>
      </c>
      <c r="D475" s="269" t="s">
        <v>83</v>
      </c>
      <c r="E475" s="269" t="s">
        <v>348</v>
      </c>
      <c r="F475" s="126" t="s">
        <v>24</v>
      </c>
      <c r="G475" s="126" t="s">
        <v>412</v>
      </c>
      <c r="H475" s="127">
        <v>44460</v>
      </c>
      <c r="I475" s="270">
        <v>36.75</v>
      </c>
      <c r="J475" s="271">
        <v>44462</v>
      </c>
      <c r="K475" s="272">
        <v>0</v>
      </c>
      <c r="L475" s="272">
        <v>990</v>
      </c>
      <c r="M475" s="273">
        <v>1443172500</v>
      </c>
      <c r="N475" s="273">
        <v>0</v>
      </c>
      <c r="O475" s="273">
        <v>1443172500</v>
      </c>
      <c r="P475" s="272">
        <v>272857858.61488718</v>
      </c>
      <c r="Q475" s="274">
        <v>0</v>
      </c>
      <c r="R475" s="275">
        <v>0.17988482302011713</v>
      </c>
      <c r="S475" s="275">
        <v>0.41643386809269162</v>
      </c>
      <c r="T475" s="276">
        <v>0.40368130888719123</v>
      </c>
      <c r="U475" s="1"/>
    </row>
    <row r="476" spans="2:21" ht="12.5" x14ac:dyDescent="0.25">
      <c r="B476" s="125" t="s">
        <v>503</v>
      </c>
      <c r="C476" s="126" t="s">
        <v>179</v>
      </c>
      <c r="D476" s="269" t="s">
        <v>76</v>
      </c>
      <c r="E476" s="269" t="s">
        <v>348</v>
      </c>
      <c r="F476" s="126" t="s">
        <v>24</v>
      </c>
      <c r="G476" s="126" t="s">
        <v>412</v>
      </c>
      <c r="H476" s="127">
        <v>44462</v>
      </c>
      <c r="I476" s="270">
        <v>16.75</v>
      </c>
      <c r="J476" s="271">
        <v>44466</v>
      </c>
      <c r="K476" s="272">
        <v>0</v>
      </c>
      <c r="L476" s="272">
        <v>456</v>
      </c>
      <c r="M476" s="273">
        <v>1098532167.5</v>
      </c>
      <c r="N476" s="273">
        <v>0</v>
      </c>
      <c r="O476" s="273">
        <v>1098532167.5</v>
      </c>
      <c r="P476" s="272">
        <v>205417586.20367253</v>
      </c>
      <c r="Q476" s="274">
        <v>5.031714285235075E-5</v>
      </c>
      <c r="R476" s="275">
        <v>0.55581297941373209</v>
      </c>
      <c r="S476" s="275">
        <v>0.35680441009935199</v>
      </c>
      <c r="T476" s="276">
        <v>8.7332293344063588E-2</v>
      </c>
      <c r="U476" s="1"/>
    </row>
    <row r="477" spans="2:21" ht="12.5" x14ac:dyDescent="0.25">
      <c r="B477" s="125" t="s">
        <v>479</v>
      </c>
      <c r="C477" s="126" t="s">
        <v>179</v>
      </c>
      <c r="D477" s="269" t="s">
        <v>145</v>
      </c>
      <c r="E477" s="269" t="s">
        <v>204</v>
      </c>
      <c r="F477" s="126" t="s">
        <v>24</v>
      </c>
      <c r="G477" s="126" t="s">
        <v>412</v>
      </c>
      <c r="H477" s="127">
        <v>44518</v>
      </c>
      <c r="I477" s="270">
        <v>19</v>
      </c>
      <c r="J477" s="271">
        <v>44522</v>
      </c>
      <c r="K477" s="272">
        <v>647</v>
      </c>
      <c r="L477" s="272">
        <v>1098</v>
      </c>
      <c r="M477" s="273">
        <v>779000000</v>
      </c>
      <c r="N477" s="273">
        <v>0</v>
      </c>
      <c r="O477" s="273">
        <v>779000000</v>
      </c>
      <c r="P477" s="272">
        <v>139503232.39197004</v>
      </c>
      <c r="Q477" s="274">
        <v>1.8844146341463414E-3</v>
      </c>
      <c r="R477" s="275">
        <v>0.61019204878048783</v>
      </c>
      <c r="S477" s="275">
        <v>0.38791826829268294</v>
      </c>
      <c r="T477" s="276">
        <v>5.2682926829268289E-6</v>
      </c>
      <c r="U477" s="1"/>
    </row>
    <row r="478" spans="2:21" ht="12.5" x14ac:dyDescent="0.25">
      <c r="B478" s="125" t="s">
        <v>496</v>
      </c>
      <c r="C478" s="126" t="s">
        <v>179</v>
      </c>
      <c r="D478" s="269" t="s">
        <v>144</v>
      </c>
      <c r="E478" s="269" t="s">
        <v>204</v>
      </c>
      <c r="F478" s="126" t="s">
        <v>24</v>
      </c>
      <c r="G478" s="126" t="s">
        <v>412</v>
      </c>
      <c r="H478" s="127">
        <v>44504</v>
      </c>
      <c r="I478" s="270">
        <v>33</v>
      </c>
      <c r="J478" s="271">
        <v>44508</v>
      </c>
      <c r="K478" s="272">
        <v>1041</v>
      </c>
      <c r="L478" s="272">
        <v>1553</v>
      </c>
      <c r="M478" s="273">
        <v>2168100000</v>
      </c>
      <c r="N478" s="273">
        <v>240900000</v>
      </c>
      <c r="O478" s="273">
        <v>2409000000</v>
      </c>
      <c r="P478" s="272">
        <v>433063080.87799084</v>
      </c>
      <c r="Q478" s="274">
        <v>1.1275109589041096E-2</v>
      </c>
      <c r="R478" s="275">
        <v>0.81532327397260274</v>
      </c>
      <c r="S478" s="275">
        <v>0.17070578082191781</v>
      </c>
      <c r="T478" s="276">
        <v>2.6958356164383562E-3</v>
      </c>
      <c r="U478" s="1"/>
    </row>
    <row r="479" spans="2:21" ht="12.5" x14ac:dyDescent="0.25">
      <c r="B479" s="125" t="s">
        <v>551</v>
      </c>
      <c r="C479" s="126" t="s">
        <v>552</v>
      </c>
      <c r="D479" s="269" t="s">
        <v>159</v>
      </c>
      <c r="E479" s="269" t="s">
        <v>553</v>
      </c>
      <c r="F479" s="126" t="s">
        <v>23</v>
      </c>
      <c r="G479" s="126" t="s">
        <v>181</v>
      </c>
      <c r="H479" s="127">
        <v>44538</v>
      </c>
      <c r="I479" s="270">
        <v>8.36</v>
      </c>
      <c r="J479" s="271">
        <v>44539</v>
      </c>
      <c r="K479" s="272">
        <v>8373110</v>
      </c>
      <c r="L479" s="272">
        <v>8373110</v>
      </c>
      <c r="M479" s="273">
        <v>405680536.79999995</v>
      </c>
      <c r="N479" s="273">
        <v>0</v>
      </c>
      <c r="O479" s="273">
        <v>405680536.79999995</v>
      </c>
      <c r="P479" s="272">
        <v>73011398.891368508</v>
      </c>
      <c r="Q479" s="274">
        <v>1</v>
      </c>
      <c r="R479" s="275">
        <v>0</v>
      </c>
      <c r="S479" s="275">
        <v>0</v>
      </c>
      <c r="T479" s="276">
        <v>0</v>
      </c>
      <c r="U479" s="1"/>
    </row>
    <row r="480" spans="2:21" ht="12.5" x14ac:dyDescent="0.25">
      <c r="B480" s="125" t="s">
        <v>531</v>
      </c>
      <c r="C480" s="126" t="s">
        <v>184</v>
      </c>
      <c r="D480" s="269" t="s">
        <v>159</v>
      </c>
      <c r="E480" s="269" t="s">
        <v>348</v>
      </c>
      <c r="F480" s="126" t="s">
        <v>24</v>
      </c>
      <c r="G480" s="126" t="s">
        <v>181</v>
      </c>
      <c r="H480" s="127">
        <v>44586</v>
      </c>
      <c r="I480" s="270">
        <v>16.5</v>
      </c>
      <c r="J480" s="271">
        <v>44588</v>
      </c>
      <c r="K480" s="272">
        <v>258</v>
      </c>
      <c r="L480" s="272">
        <v>265</v>
      </c>
      <c r="M480" s="273">
        <v>5697516</v>
      </c>
      <c r="N480" s="273">
        <v>0</v>
      </c>
      <c r="O480" s="273">
        <v>5697516</v>
      </c>
      <c r="P480" s="272">
        <v>1059017.8438661711</v>
      </c>
      <c r="Q480" s="274">
        <v>0.82197426036188403</v>
      </c>
      <c r="R480" s="275">
        <v>0.14994034242290852</v>
      </c>
      <c r="S480" s="275">
        <v>0</v>
      </c>
      <c r="T480" s="276">
        <v>2.8085397215207468E-2</v>
      </c>
      <c r="U480" s="1"/>
    </row>
    <row r="481" spans="2:21" ht="12.5" x14ac:dyDescent="0.25">
      <c r="B481" s="125" t="s">
        <v>554</v>
      </c>
      <c r="C481" s="126" t="s">
        <v>189</v>
      </c>
      <c r="D481" s="269" t="s">
        <v>66</v>
      </c>
      <c r="E481" s="269" t="s">
        <v>204</v>
      </c>
      <c r="F481" s="126" t="s">
        <v>24</v>
      </c>
      <c r="G481" s="126" t="s">
        <v>412</v>
      </c>
      <c r="H481" s="127">
        <v>44614</v>
      </c>
      <c r="I481" s="270">
        <v>26.3</v>
      </c>
      <c r="J481" s="271">
        <v>44616</v>
      </c>
      <c r="K481" s="272">
        <v>16</v>
      </c>
      <c r="L481" s="272">
        <v>22</v>
      </c>
      <c r="M481" s="273">
        <v>2498500000</v>
      </c>
      <c r="N481" s="273">
        <v>0</v>
      </c>
      <c r="O481" s="273">
        <v>2498500000</v>
      </c>
      <c r="P481" s="272">
        <v>488236213.70227069</v>
      </c>
      <c r="Q481" s="274">
        <v>6.7936842105263161E-5</v>
      </c>
      <c r="R481" s="275">
        <v>0</v>
      </c>
      <c r="S481" s="275">
        <v>0</v>
      </c>
      <c r="T481" s="276">
        <v>0.3946689052631579</v>
      </c>
      <c r="U481" s="1"/>
    </row>
    <row r="482" spans="2:21" ht="12.5" x14ac:dyDescent="0.25">
      <c r="B482" s="125" t="s">
        <v>27</v>
      </c>
      <c r="C482" s="126" t="s">
        <v>179</v>
      </c>
      <c r="D482" s="269" t="s">
        <v>160</v>
      </c>
      <c r="E482" s="269" t="s">
        <v>339</v>
      </c>
      <c r="F482" s="126" t="s">
        <v>24</v>
      </c>
      <c r="G482" s="126" t="s">
        <v>412</v>
      </c>
      <c r="H482" s="127">
        <v>44593</v>
      </c>
      <c r="I482" s="270">
        <v>20</v>
      </c>
      <c r="J482" s="271">
        <v>44595</v>
      </c>
      <c r="K482" s="272">
        <v>0</v>
      </c>
      <c r="L482" s="272">
        <v>160</v>
      </c>
      <c r="M482" s="273">
        <v>5400000000</v>
      </c>
      <c r="N482" s="273">
        <v>0</v>
      </c>
      <c r="O482" s="273">
        <v>5400000000</v>
      </c>
      <c r="P482" s="272">
        <v>1018387553.0410184</v>
      </c>
      <c r="Q482" s="274">
        <v>1.0206333333333333E-3</v>
      </c>
      <c r="R482" s="275">
        <v>9.5917377777777771E-2</v>
      </c>
      <c r="S482" s="275">
        <v>0.28559843333333335</v>
      </c>
      <c r="T482" s="276">
        <v>3.7037037037037038E-3</v>
      </c>
      <c r="U482" s="1"/>
    </row>
    <row r="483" spans="2:21" ht="12.5" x14ac:dyDescent="0.25">
      <c r="B483" s="125" t="s">
        <v>555</v>
      </c>
      <c r="C483" s="126" t="s">
        <v>179</v>
      </c>
      <c r="D483" s="269" t="s">
        <v>161</v>
      </c>
      <c r="E483" s="269" t="s">
        <v>204</v>
      </c>
      <c r="F483" s="126" t="s">
        <v>24</v>
      </c>
      <c r="G483" s="126" t="s">
        <v>412</v>
      </c>
      <c r="H483" s="127">
        <v>44595</v>
      </c>
      <c r="I483" s="270">
        <v>82.35</v>
      </c>
      <c r="J483" s="271">
        <v>44599</v>
      </c>
      <c r="K483" s="272">
        <v>151</v>
      </c>
      <c r="L483" s="272">
        <v>699</v>
      </c>
      <c r="M483" s="273">
        <v>833793750</v>
      </c>
      <c r="N483" s="273">
        <v>0</v>
      </c>
      <c r="O483" s="273">
        <v>833793750</v>
      </c>
      <c r="P483" s="272">
        <v>157578241.64194056</v>
      </c>
      <c r="Q483" s="274">
        <v>1.3310617283950616E-3</v>
      </c>
      <c r="R483" s="275">
        <v>0.63660641975308629</v>
      </c>
      <c r="S483" s="275">
        <v>0.36206251851851845</v>
      </c>
      <c r="T483" s="276">
        <v>0</v>
      </c>
      <c r="U483" s="1"/>
    </row>
    <row r="484" spans="2:21" ht="12.5" x14ac:dyDescent="0.25">
      <c r="B484" s="125" t="s">
        <v>231</v>
      </c>
      <c r="C484" s="126" t="s">
        <v>179</v>
      </c>
      <c r="D484" s="19" t="s">
        <v>65</v>
      </c>
      <c r="E484" s="269" t="s">
        <v>202</v>
      </c>
      <c r="F484" s="126" t="s">
        <v>24</v>
      </c>
      <c r="G484" s="126" t="s">
        <v>412</v>
      </c>
      <c r="H484" s="127">
        <v>44600</v>
      </c>
      <c r="I484" s="270">
        <v>23.5</v>
      </c>
      <c r="J484" s="271">
        <v>44602</v>
      </c>
      <c r="K484" s="272">
        <v>379</v>
      </c>
      <c r="L484" s="272">
        <v>1119</v>
      </c>
      <c r="M484" s="273">
        <v>2782282500</v>
      </c>
      <c r="N484" s="273">
        <v>0</v>
      </c>
      <c r="O484" s="273">
        <v>2782282500</v>
      </c>
      <c r="P484" s="272">
        <v>534017101.39920545</v>
      </c>
      <c r="Q484" s="274">
        <v>2.0494446556020103E-3</v>
      </c>
      <c r="R484" s="275">
        <v>0.51389472528400693</v>
      </c>
      <c r="S484" s="275">
        <v>0.42685947886312764</v>
      </c>
      <c r="T484" s="276">
        <v>5.71963511972634E-2</v>
      </c>
      <c r="U484" s="1"/>
    </row>
    <row r="485" spans="2:21" ht="12.5" x14ac:dyDescent="0.25">
      <c r="B485" s="125" t="s">
        <v>532</v>
      </c>
      <c r="C485" s="126" t="s">
        <v>179</v>
      </c>
      <c r="D485" s="269" t="s">
        <v>106</v>
      </c>
      <c r="E485" s="269" t="s">
        <v>348</v>
      </c>
      <c r="F485" s="126" t="s">
        <v>24</v>
      </c>
      <c r="G485" s="126" t="s">
        <v>181</v>
      </c>
      <c r="H485" s="127">
        <v>44592</v>
      </c>
      <c r="I485" s="270">
        <v>9.6</v>
      </c>
      <c r="J485" s="271">
        <v>44594</v>
      </c>
      <c r="K485" s="272">
        <v>92</v>
      </c>
      <c r="L485" s="272">
        <v>127</v>
      </c>
      <c r="M485" s="273">
        <v>4800000</v>
      </c>
      <c r="N485" s="273">
        <v>0</v>
      </c>
      <c r="O485" s="273">
        <v>4800000</v>
      </c>
      <c r="P485" s="272">
        <v>906412.87106276909</v>
      </c>
      <c r="Q485" s="274">
        <v>0.31307799999999997</v>
      </c>
      <c r="R485" s="275">
        <v>0.320932</v>
      </c>
      <c r="S485" s="275">
        <v>1.054E-3</v>
      </c>
      <c r="T485" s="276">
        <v>0.36493599999999998</v>
      </c>
      <c r="U485" s="1"/>
    </row>
    <row r="486" spans="2:21" ht="12.5" x14ac:dyDescent="0.25">
      <c r="B486" s="125" t="s">
        <v>533</v>
      </c>
      <c r="C486" s="126" t="s">
        <v>179</v>
      </c>
      <c r="D486" s="269" t="s">
        <v>146</v>
      </c>
      <c r="E486" s="269" t="s">
        <v>348</v>
      </c>
      <c r="F486" s="126" t="s">
        <v>24</v>
      </c>
      <c r="G486" s="126" t="s">
        <v>181</v>
      </c>
      <c r="H486" s="127">
        <v>44603</v>
      </c>
      <c r="I486" s="270">
        <v>13.75</v>
      </c>
      <c r="J486" s="271">
        <v>44606</v>
      </c>
      <c r="K486" s="272">
        <v>109</v>
      </c>
      <c r="L486" s="272">
        <v>129</v>
      </c>
      <c r="M486" s="273">
        <v>4592527.5</v>
      </c>
      <c r="N486" s="273">
        <v>0</v>
      </c>
      <c r="O486" s="273">
        <v>4592527.5</v>
      </c>
      <c r="P486" s="272">
        <v>881381.70268299233</v>
      </c>
      <c r="Q486" s="274">
        <v>0.36853970934305785</v>
      </c>
      <c r="R486" s="275">
        <v>0.54437099179046833</v>
      </c>
      <c r="S486" s="275">
        <v>0</v>
      </c>
      <c r="T486" s="276">
        <v>8.7089298866473847E-2</v>
      </c>
      <c r="U486" s="1"/>
    </row>
    <row r="487" spans="2:21" ht="12.5" x14ac:dyDescent="0.25">
      <c r="B487" s="125" t="s">
        <v>517</v>
      </c>
      <c r="C487" s="126" t="s">
        <v>179</v>
      </c>
      <c r="D487" s="269" t="s">
        <v>125</v>
      </c>
      <c r="E487" s="269" t="s">
        <v>348</v>
      </c>
      <c r="F487" s="126" t="s">
        <v>24</v>
      </c>
      <c r="G487" s="126" t="s">
        <v>181</v>
      </c>
      <c r="H487" s="127">
        <v>44624</v>
      </c>
      <c r="I487" s="270">
        <v>14</v>
      </c>
      <c r="J487" s="271">
        <v>44648</v>
      </c>
      <c r="K487" s="272">
        <v>47</v>
      </c>
      <c r="L487" s="272">
        <v>73</v>
      </c>
      <c r="M487" s="273">
        <v>0</v>
      </c>
      <c r="N487" s="273">
        <v>6412196</v>
      </c>
      <c r="O487" s="273">
        <v>6412196</v>
      </c>
      <c r="P487" s="272">
        <v>1338523.3274188498</v>
      </c>
      <c r="Q487" s="274">
        <v>0.16275921696716694</v>
      </c>
      <c r="R487" s="275">
        <v>0.83537184452876989</v>
      </c>
      <c r="S487" s="275">
        <v>0</v>
      </c>
      <c r="T487" s="276">
        <v>1.8689385040631945E-3</v>
      </c>
      <c r="U487" s="1"/>
    </row>
    <row r="488" spans="2:21" ht="12.5" x14ac:dyDescent="0.25">
      <c r="B488" s="125" t="s">
        <v>415</v>
      </c>
      <c r="C488" s="126" t="s">
        <v>189</v>
      </c>
      <c r="D488" s="269" t="s">
        <v>135</v>
      </c>
      <c r="E488" s="269" t="s">
        <v>204</v>
      </c>
      <c r="F488" s="126" t="s">
        <v>24</v>
      </c>
      <c r="G488" s="126" t="s">
        <v>412</v>
      </c>
      <c r="H488" s="127">
        <v>44658</v>
      </c>
      <c r="I488" s="270">
        <v>12</v>
      </c>
      <c r="J488" s="271">
        <v>44662</v>
      </c>
      <c r="K488" s="272">
        <v>132</v>
      </c>
      <c r="L488" s="272">
        <v>208</v>
      </c>
      <c r="M488" s="273">
        <v>629400000</v>
      </c>
      <c r="N488" s="273">
        <v>0</v>
      </c>
      <c r="O488" s="273">
        <v>629400000</v>
      </c>
      <c r="P488" s="272">
        <v>133843700.15948965</v>
      </c>
      <c r="Q488" s="274">
        <v>2.6287702573879884E-3</v>
      </c>
      <c r="R488" s="275">
        <v>0.18319521448999046</v>
      </c>
      <c r="S488" s="275">
        <v>7.0974318398474734E-2</v>
      </c>
      <c r="T488" s="276">
        <v>0.74320169685414683</v>
      </c>
      <c r="U488" s="1"/>
    </row>
    <row r="489" spans="2:21" ht="12.5" x14ac:dyDescent="0.25">
      <c r="B489" s="125" t="s">
        <v>538</v>
      </c>
      <c r="C489" s="126" t="s">
        <v>179</v>
      </c>
      <c r="D489" s="269" t="s">
        <v>152</v>
      </c>
      <c r="E489" s="269" t="s">
        <v>348</v>
      </c>
      <c r="F489" s="126" t="s">
        <v>24</v>
      </c>
      <c r="G489" s="126" t="s">
        <v>412</v>
      </c>
      <c r="H489" s="127">
        <v>44657</v>
      </c>
      <c r="I489" s="270">
        <v>19</v>
      </c>
      <c r="J489" s="271">
        <v>44659</v>
      </c>
      <c r="K489" s="272">
        <v>3</v>
      </c>
      <c r="L489" s="272">
        <v>226</v>
      </c>
      <c r="M489" s="273">
        <v>0</v>
      </c>
      <c r="N489" s="273">
        <v>904400000</v>
      </c>
      <c r="O489" s="273">
        <v>904400000</v>
      </c>
      <c r="P489" s="272">
        <v>190347904.78395388</v>
      </c>
      <c r="Q489" s="274">
        <v>4.2846638655462182E-4</v>
      </c>
      <c r="R489" s="275">
        <v>0.58890892857142862</v>
      </c>
      <c r="S489" s="275">
        <v>0.41066260504201679</v>
      </c>
      <c r="T489" s="276">
        <v>0</v>
      </c>
      <c r="U489" s="1"/>
    </row>
    <row r="490" spans="2:21" ht="12.5" x14ac:dyDescent="0.25">
      <c r="B490" s="125" t="s">
        <v>434</v>
      </c>
      <c r="C490" s="126" t="s">
        <v>179</v>
      </c>
      <c r="D490" s="269" t="s">
        <v>131</v>
      </c>
      <c r="E490" s="269" t="s">
        <v>556</v>
      </c>
      <c r="F490" s="126" t="s">
        <v>24</v>
      </c>
      <c r="G490" s="126" t="s">
        <v>412</v>
      </c>
      <c r="H490" s="127">
        <v>44735</v>
      </c>
      <c r="I490" s="270">
        <v>14</v>
      </c>
      <c r="J490" s="271">
        <v>44740</v>
      </c>
      <c r="K490" s="272">
        <v>0</v>
      </c>
      <c r="L490" s="272">
        <v>906</v>
      </c>
      <c r="M490" s="273">
        <v>4200000000</v>
      </c>
      <c r="N490" s="273">
        <v>0</v>
      </c>
      <c r="O490" s="273">
        <v>4200000000</v>
      </c>
      <c r="P490" s="272">
        <v>804921520.15178514</v>
      </c>
      <c r="Q490" s="274">
        <v>0</v>
      </c>
      <c r="R490" s="275">
        <v>0.14343439999999999</v>
      </c>
      <c r="S490" s="275">
        <v>5.1387106666666668E-2</v>
      </c>
      <c r="T490" s="276">
        <v>0.80517849333333336</v>
      </c>
      <c r="U490" s="1"/>
    </row>
    <row r="491" spans="2:21" ht="12.5" x14ac:dyDescent="0.25">
      <c r="B491" s="125" t="s">
        <v>557</v>
      </c>
      <c r="C491" s="126" t="s">
        <v>189</v>
      </c>
      <c r="D491" s="269" t="s">
        <v>131</v>
      </c>
      <c r="E491" s="269" t="s">
        <v>348</v>
      </c>
      <c r="F491" s="126" t="s">
        <v>24</v>
      </c>
      <c r="G491" s="126" t="s">
        <v>181</v>
      </c>
      <c r="H491" s="127">
        <v>44721</v>
      </c>
      <c r="I491" s="270">
        <v>42</v>
      </c>
      <c r="J491" s="271">
        <v>44725</v>
      </c>
      <c r="K491" s="272">
        <v>32573</v>
      </c>
      <c r="L491" s="272">
        <v>34759</v>
      </c>
      <c r="M491" s="273">
        <v>30756468456</v>
      </c>
      <c r="N491" s="273">
        <v>2931663672</v>
      </c>
      <c r="O491" s="273">
        <v>33688132128</v>
      </c>
      <c r="P491" s="272">
        <v>6601244709.8935986</v>
      </c>
      <c r="Q491" s="274">
        <v>9.425949173836011E-2</v>
      </c>
      <c r="R491" s="275">
        <v>0.5553667690720594</v>
      </c>
      <c r="S491" s="275">
        <v>0.32510708436983959</v>
      </c>
      <c r="T491" s="276">
        <v>1.3069771999440906E-2</v>
      </c>
      <c r="U491" s="1"/>
    </row>
    <row r="492" spans="2:21" ht="12.5" x14ac:dyDescent="0.25">
      <c r="B492" s="125" t="s">
        <v>526</v>
      </c>
      <c r="C492" s="126" t="s">
        <v>179</v>
      </c>
      <c r="D492" s="269" t="s">
        <v>144</v>
      </c>
      <c r="E492" s="269" t="s">
        <v>204</v>
      </c>
      <c r="F492" s="126" t="s">
        <v>24</v>
      </c>
      <c r="G492" s="126" t="s">
        <v>412</v>
      </c>
      <c r="H492" s="127">
        <v>44726</v>
      </c>
      <c r="I492" s="270">
        <v>23.5</v>
      </c>
      <c r="J492" s="271">
        <v>44729</v>
      </c>
      <c r="K492" s="272">
        <v>101</v>
      </c>
      <c r="L492" s="272">
        <v>506</v>
      </c>
      <c r="M492" s="273">
        <v>1034000000</v>
      </c>
      <c r="N492" s="273">
        <v>0</v>
      </c>
      <c r="O492" s="273">
        <v>1034000000</v>
      </c>
      <c r="P492" s="272">
        <v>201508389.68682399</v>
      </c>
      <c r="Q492" s="274">
        <v>2.3772727272727274E-3</v>
      </c>
      <c r="R492" s="275">
        <v>0.83216015909090912</v>
      </c>
      <c r="S492" s="275">
        <v>7.6363636363636364E-6</v>
      </c>
      <c r="T492" s="276">
        <v>0</v>
      </c>
      <c r="U492" s="1"/>
    </row>
    <row r="493" spans="2:21" ht="13" thickBot="1" x14ac:dyDescent="0.3">
      <c r="B493" s="146" t="s">
        <v>405</v>
      </c>
      <c r="C493" s="147" t="s">
        <v>179</v>
      </c>
      <c r="D493" s="277" t="s">
        <v>132</v>
      </c>
      <c r="E493" s="277" t="s">
        <v>339</v>
      </c>
      <c r="F493" s="147" t="s">
        <v>24</v>
      </c>
      <c r="G493" s="147" t="s">
        <v>412</v>
      </c>
      <c r="H493" s="148">
        <v>44735</v>
      </c>
      <c r="I493" s="278">
        <v>7.7</v>
      </c>
      <c r="J493" s="279">
        <v>44739</v>
      </c>
      <c r="K493" s="280">
        <v>800</v>
      </c>
      <c r="L493" s="280">
        <v>1046</v>
      </c>
      <c r="M493" s="281">
        <v>402806250</v>
      </c>
      <c r="N493" s="281">
        <v>0</v>
      </c>
      <c r="O493" s="281">
        <v>402806250</v>
      </c>
      <c r="P493" s="280">
        <v>77145257.976787835</v>
      </c>
      <c r="Q493" s="282">
        <v>9.4403632019115901E-3</v>
      </c>
      <c r="R493" s="283">
        <v>0.47047118757467149</v>
      </c>
      <c r="S493" s="283">
        <v>0.51550623655913974</v>
      </c>
      <c r="T493" s="284">
        <v>4.5822126642771806E-3</v>
      </c>
      <c r="U493" s="1"/>
    </row>
    <row r="494" spans="2:21" ht="13.5" thickTop="1" thickBot="1" x14ac:dyDescent="0.3">
      <c r="B494" s="146" t="s">
        <v>426</v>
      </c>
      <c r="C494" s="147" t="s">
        <v>179</v>
      </c>
      <c r="D494" s="277" t="s">
        <v>162</v>
      </c>
      <c r="E494" s="277" t="s">
        <v>190</v>
      </c>
      <c r="F494" s="147" t="s">
        <v>24</v>
      </c>
      <c r="G494" s="147" t="s">
        <v>412</v>
      </c>
      <c r="H494" s="148">
        <v>44805</v>
      </c>
      <c r="I494" s="278">
        <v>1</v>
      </c>
      <c r="J494" s="279">
        <v>44809</v>
      </c>
      <c r="K494" s="280">
        <v>9476</v>
      </c>
      <c r="L494" s="280">
        <v>10650</v>
      </c>
      <c r="M494" s="281">
        <v>1200000000</v>
      </c>
      <c r="N494" s="281">
        <v>0</v>
      </c>
      <c r="O494" s="281">
        <v>1200000000</v>
      </c>
      <c r="P494" s="280">
        <v>232171187.55562437</v>
      </c>
      <c r="Q494" s="282">
        <v>5.8085305833333337E-2</v>
      </c>
      <c r="R494" s="283">
        <v>0.57171718666666671</v>
      </c>
      <c r="S494" s="283">
        <v>0.1489560375</v>
      </c>
      <c r="T494" s="284">
        <v>0.22124147</v>
      </c>
      <c r="U494" s="1"/>
    </row>
    <row r="495" spans="2:21" ht="13.5" thickTop="1" thickBot="1" x14ac:dyDescent="0.3">
      <c r="B495" s="146" t="s">
        <v>503</v>
      </c>
      <c r="C495" s="147" t="s">
        <v>179</v>
      </c>
      <c r="D495" s="277" t="s">
        <v>163</v>
      </c>
      <c r="E495" s="277" t="s">
        <v>348</v>
      </c>
      <c r="F495" s="147" t="s">
        <v>24</v>
      </c>
      <c r="G495" s="147" t="s">
        <v>412</v>
      </c>
      <c r="H495" s="148">
        <v>44825</v>
      </c>
      <c r="I495" s="278">
        <v>13.25</v>
      </c>
      <c r="J495" s="279">
        <v>44827</v>
      </c>
      <c r="K495" s="280">
        <v>191</v>
      </c>
      <c r="L495" s="280">
        <v>272</v>
      </c>
      <c r="M495" s="281">
        <v>641432500</v>
      </c>
      <c r="N495" s="281">
        <v>0</v>
      </c>
      <c r="O495" s="281">
        <v>641432500</v>
      </c>
      <c r="P495" s="280">
        <v>122745756.54936181</v>
      </c>
      <c r="Q495" s="282">
        <v>5.0047510844866759E-4</v>
      </c>
      <c r="R495" s="283">
        <v>0.41163123321627765</v>
      </c>
      <c r="S495" s="283">
        <v>0.58673538525098123</v>
      </c>
      <c r="T495" s="284">
        <v>1.1329064242925015E-3</v>
      </c>
      <c r="U495" s="1"/>
    </row>
    <row r="496" spans="2:21" ht="13.5" thickTop="1" thickBot="1" x14ac:dyDescent="0.3">
      <c r="B496" s="146" t="s">
        <v>558</v>
      </c>
      <c r="C496" s="147" t="s">
        <v>179</v>
      </c>
      <c r="D496" s="277" t="s">
        <v>87</v>
      </c>
      <c r="E496" s="277" t="s">
        <v>348</v>
      </c>
      <c r="F496" s="147" t="s">
        <v>24</v>
      </c>
      <c r="G496" s="147" t="s">
        <v>412</v>
      </c>
      <c r="H496" s="148">
        <v>44824</v>
      </c>
      <c r="I496" s="278">
        <v>19.739999999999998</v>
      </c>
      <c r="J496" s="279">
        <v>44826</v>
      </c>
      <c r="K496" s="280">
        <v>0</v>
      </c>
      <c r="L496" s="280">
        <v>1617</v>
      </c>
      <c r="M496" s="281">
        <v>720036240</v>
      </c>
      <c r="N496" s="281">
        <v>0</v>
      </c>
      <c r="O496" s="281">
        <v>720036240</v>
      </c>
      <c r="P496" s="280">
        <v>139333986.1060046</v>
      </c>
      <c r="Q496" s="282">
        <v>0</v>
      </c>
      <c r="R496" s="283">
        <v>8.7394231823664875E-2</v>
      </c>
      <c r="S496" s="283">
        <v>0</v>
      </c>
      <c r="T496" s="284">
        <v>0.46944980260993524</v>
      </c>
      <c r="U496" s="1"/>
    </row>
    <row r="497" spans="2:21" ht="13.5" thickTop="1" thickBot="1" x14ac:dyDescent="0.3">
      <c r="B497" s="146" t="s">
        <v>559</v>
      </c>
      <c r="C497" s="147" t="s">
        <v>179</v>
      </c>
      <c r="D497" s="277" t="s">
        <v>115</v>
      </c>
      <c r="E497" s="277" t="s">
        <v>204</v>
      </c>
      <c r="F497" s="147" t="s">
        <v>24</v>
      </c>
      <c r="G497" s="147" t="s">
        <v>412</v>
      </c>
      <c r="H497" s="148">
        <v>44894</v>
      </c>
      <c r="I497" s="278">
        <v>19</v>
      </c>
      <c r="J497" s="279">
        <v>44896</v>
      </c>
      <c r="K497" s="280">
        <v>0</v>
      </c>
      <c r="L497" s="280">
        <v>441</v>
      </c>
      <c r="M497" s="281">
        <v>0</v>
      </c>
      <c r="N497" s="281">
        <v>2675200000</v>
      </c>
      <c r="O497" s="281">
        <v>2675200000</v>
      </c>
      <c r="P497" s="280">
        <v>514976514.976515</v>
      </c>
      <c r="Q497" s="282">
        <v>1.6137073863636364E-4</v>
      </c>
      <c r="R497" s="283">
        <v>0.50204392755681815</v>
      </c>
      <c r="S497" s="283">
        <v>0.48359015625000001</v>
      </c>
      <c r="T497" s="284">
        <v>0</v>
      </c>
      <c r="U497" s="1"/>
    </row>
    <row r="498" spans="2:21" ht="15.5" thickTop="1" thickBot="1" x14ac:dyDescent="0.3">
      <c r="B498" s="146" t="s">
        <v>28</v>
      </c>
      <c r="C498" s="147" t="s">
        <v>552</v>
      </c>
      <c r="D498" s="277" t="s">
        <v>105</v>
      </c>
      <c r="E498" s="277" t="s">
        <v>348</v>
      </c>
      <c r="F498" s="147" t="s">
        <v>24</v>
      </c>
      <c r="G498" s="147" t="s">
        <v>412</v>
      </c>
      <c r="H498" s="148">
        <v>44910</v>
      </c>
      <c r="I498" s="278">
        <v>7.16</v>
      </c>
      <c r="J498" s="279">
        <v>44916</v>
      </c>
      <c r="K498" s="280">
        <v>0</v>
      </c>
      <c r="L498" s="280">
        <v>0</v>
      </c>
      <c r="M498" s="281">
        <v>70000004.920000002</v>
      </c>
      <c r="N498" s="281">
        <v>0</v>
      </c>
      <c r="O498" s="281">
        <v>70000004.920000002</v>
      </c>
      <c r="P498" s="280">
        <v>13453519.040571967</v>
      </c>
      <c r="Q498" s="282">
        <v>0</v>
      </c>
      <c r="R498" s="283">
        <v>0</v>
      </c>
      <c r="S498" s="283">
        <v>0</v>
      </c>
      <c r="T498" s="284">
        <v>0</v>
      </c>
      <c r="U498" s="1"/>
    </row>
    <row r="499" spans="2:21" ht="13.5" thickTop="1" thickBot="1" x14ac:dyDescent="0.3">
      <c r="B499" s="146" t="s">
        <v>559</v>
      </c>
      <c r="C499" s="147" t="s">
        <v>179</v>
      </c>
      <c r="D499" s="277" t="s">
        <v>115</v>
      </c>
      <c r="E499" s="277" t="s">
        <v>348</v>
      </c>
      <c r="F499" s="147" t="s">
        <v>24</v>
      </c>
      <c r="G499" s="147" t="s">
        <v>164</v>
      </c>
      <c r="H499" s="148">
        <v>45001</v>
      </c>
      <c r="I499" s="278">
        <v>16</v>
      </c>
      <c r="J499" s="279">
        <v>45005</v>
      </c>
      <c r="K499" s="280">
        <v>0</v>
      </c>
      <c r="L499" s="280">
        <v>489</v>
      </c>
      <c r="M499" s="281">
        <v>0</v>
      </c>
      <c r="N499" s="281">
        <v>4064000000</v>
      </c>
      <c r="O499" s="281">
        <v>4064000000</v>
      </c>
      <c r="P499" s="280">
        <v>774582118.28387368</v>
      </c>
      <c r="Q499" s="282">
        <v>5.1618897637795277E-4</v>
      </c>
      <c r="R499" s="283">
        <v>0.45671154724409446</v>
      </c>
      <c r="S499" s="283">
        <v>0.49669043307086613</v>
      </c>
      <c r="T499" s="284">
        <v>0</v>
      </c>
      <c r="U499" s="1"/>
    </row>
    <row r="500" spans="2:21" ht="13.5" thickTop="1" thickBot="1" x14ac:dyDescent="0.3">
      <c r="B500" s="146" t="s">
        <v>441</v>
      </c>
      <c r="C500" s="147" t="s">
        <v>179</v>
      </c>
      <c r="D500" s="277" t="s">
        <v>165</v>
      </c>
      <c r="E500" s="277" t="s">
        <v>461</v>
      </c>
      <c r="F500" s="147" t="s">
        <v>24</v>
      </c>
      <c r="G500" s="147" t="s">
        <v>164</v>
      </c>
      <c r="H500" s="148">
        <v>45028</v>
      </c>
      <c r="I500" s="278">
        <v>2.68</v>
      </c>
      <c r="J500" s="279">
        <v>45030</v>
      </c>
      <c r="K500" s="280">
        <v>116</v>
      </c>
      <c r="L500" s="280">
        <v>823</v>
      </c>
      <c r="M500" s="281">
        <v>1059156153.6</v>
      </c>
      <c r="N500" s="281">
        <v>0</v>
      </c>
      <c r="O500" s="281">
        <v>1059156153.6</v>
      </c>
      <c r="P500" s="280">
        <v>214165636.15407947</v>
      </c>
      <c r="Q500" s="282">
        <v>0.34101653480682759</v>
      </c>
      <c r="R500" s="283">
        <v>0.22346492799529727</v>
      </c>
      <c r="S500" s="283">
        <v>0.43540081929615104</v>
      </c>
      <c r="T500" s="284">
        <v>9.2414739476617242E-5</v>
      </c>
      <c r="U500" s="1"/>
    </row>
    <row r="501" spans="2:21" ht="13.5" thickTop="1" thickBot="1" x14ac:dyDescent="0.3">
      <c r="B501" s="146" t="s">
        <v>197</v>
      </c>
      <c r="C501" s="147" t="s">
        <v>179</v>
      </c>
      <c r="D501" s="277" t="s">
        <v>165</v>
      </c>
      <c r="E501" s="277" t="s">
        <v>190</v>
      </c>
      <c r="F501" s="147" t="s">
        <v>24</v>
      </c>
      <c r="G501" s="147" t="s">
        <v>164</v>
      </c>
      <c r="H501" s="148">
        <v>45034</v>
      </c>
      <c r="I501" s="278">
        <v>8.5</v>
      </c>
      <c r="J501" s="279">
        <v>45036</v>
      </c>
      <c r="K501" s="280">
        <v>26</v>
      </c>
      <c r="L501" s="280">
        <v>81</v>
      </c>
      <c r="M501" s="281">
        <v>1673290229</v>
      </c>
      <c r="N501" s="281">
        <v>0</v>
      </c>
      <c r="O501" s="281">
        <v>1673290229</v>
      </c>
      <c r="P501" s="280">
        <v>331364284.80899858</v>
      </c>
      <c r="Q501" s="282">
        <v>4.5724404932265939E-4</v>
      </c>
      <c r="R501" s="283">
        <v>9.2077843000420694E-3</v>
      </c>
      <c r="S501" s="283">
        <v>2.5077274864072609E-2</v>
      </c>
      <c r="T501" s="284">
        <v>0.9652576967865627</v>
      </c>
      <c r="U501" s="1"/>
    </row>
    <row r="502" spans="2:21" ht="13.5" thickTop="1" thickBot="1" x14ac:dyDescent="0.3">
      <c r="B502" s="146" t="s">
        <v>512</v>
      </c>
      <c r="C502" s="147" t="s">
        <v>179</v>
      </c>
      <c r="D502" s="277" t="s">
        <v>67</v>
      </c>
      <c r="E502" s="277" t="s">
        <v>348</v>
      </c>
      <c r="F502" s="147" t="s">
        <v>24</v>
      </c>
      <c r="G502" s="147" t="s">
        <v>164</v>
      </c>
      <c r="H502" s="148">
        <v>45043</v>
      </c>
      <c r="I502" s="278">
        <v>34</v>
      </c>
      <c r="J502" s="279">
        <v>45048</v>
      </c>
      <c r="K502" s="280">
        <v>18</v>
      </c>
      <c r="L502" s="280">
        <v>230</v>
      </c>
      <c r="M502" s="281">
        <v>91120000</v>
      </c>
      <c r="N502" s="281">
        <v>278181846</v>
      </c>
      <c r="O502" s="281">
        <v>369301846</v>
      </c>
      <c r="P502" s="280">
        <v>73370255.890650451</v>
      </c>
      <c r="Q502" s="282">
        <v>2.8294524149223995E-3</v>
      </c>
      <c r="R502" s="283">
        <v>0.53802120989127145</v>
      </c>
      <c r="S502" s="283">
        <v>0.34267409537942034</v>
      </c>
      <c r="T502" s="284">
        <v>0.11647524231438583</v>
      </c>
      <c r="U502" s="1"/>
    </row>
    <row r="503" spans="2:21" ht="13.5" thickTop="1" thickBot="1" x14ac:dyDescent="0.3">
      <c r="B503" s="146" t="s">
        <v>534</v>
      </c>
      <c r="C503" s="147" t="s">
        <v>179</v>
      </c>
      <c r="D503" s="277" t="s">
        <v>166</v>
      </c>
      <c r="E503" s="277" t="s">
        <v>204</v>
      </c>
      <c r="F503" s="147" t="s">
        <v>24</v>
      </c>
      <c r="G503" s="147" t="s">
        <v>164</v>
      </c>
      <c r="H503" s="148">
        <v>45075</v>
      </c>
      <c r="I503" s="278">
        <v>18.149999999999999</v>
      </c>
      <c r="J503" s="279">
        <v>45077</v>
      </c>
      <c r="K503" s="280">
        <v>0</v>
      </c>
      <c r="L503" s="280">
        <v>277</v>
      </c>
      <c r="M503" s="281">
        <v>0</v>
      </c>
      <c r="N503" s="281">
        <v>591730873.79999995</v>
      </c>
      <c r="O503" s="281">
        <v>591730873.79999995</v>
      </c>
      <c r="P503" s="280">
        <v>116119012.1077729</v>
      </c>
      <c r="Q503" s="282">
        <v>8.2791826773193468E-4</v>
      </c>
      <c r="R503" s="283">
        <v>0.87805121560314303</v>
      </c>
      <c r="S503" s="283">
        <v>0.12112086612912505</v>
      </c>
      <c r="T503" s="284">
        <v>0</v>
      </c>
      <c r="U503" s="1"/>
    </row>
    <row r="504" spans="2:21" ht="13.5" thickTop="1" thickBot="1" x14ac:dyDescent="0.3">
      <c r="B504" s="146" t="s">
        <v>547</v>
      </c>
      <c r="C504" s="147" t="s">
        <v>179</v>
      </c>
      <c r="D504" s="277" t="s">
        <v>165</v>
      </c>
      <c r="E504" s="277" t="s">
        <v>447</v>
      </c>
      <c r="F504" s="147" t="s">
        <v>24</v>
      </c>
      <c r="G504" s="147" t="s">
        <v>164</v>
      </c>
      <c r="H504" s="148">
        <v>45097</v>
      </c>
      <c r="I504" s="278">
        <v>10.25</v>
      </c>
      <c r="J504" s="279">
        <v>45099</v>
      </c>
      <c r="K504" s="280">
        <v>83</v>
      </c>
      <c r="L504" s="280">
        <v>290</v>
      </c>
      <c r="M504" s="281">
        <v>205000000</v>
      </c>
      <c r="N504" s="281">
        <v>691875000</v>
      </c>
      <c r="O504" s="281">
        <v>896875000</v>
      </c>
      <c r="P504" s="280">
        <v>187827225.13089004</v>
      </c>
      <c r="Q504" s="282">
        <v>1.2096937142857143E-2</v>
      </c>
      <c r="R504" s="283">
        <v>0.31990948571428574</v>
      </c>
      <c r="S504" s="283">
        <v>0.65050881142857142</v>
      </c>
      <c r="T504" s="284">
        <v>1.7484765714285713E-2</v>
      </c>
      <c r="U504" s="1"/>
    </row>
    <row r="505" spans="2:21" ht="13.5" thickTop="1" thickBot="1" x14ac:dyDescent="0.3">
      <c r="B505" s="146" t="s">
        <v>405</v>
      </c>
      <c r="C505" s="147" t="s">
        <v>179</v>
      </c>
      <c r="D505" s="277" t="s">
        <v>167</v>
      </c>
      <c r="E505" s="277" t="s">
        <v>339</v>
      </c>
      <c r="F505" s="147" t="s">
        <v>24</v>
      </c>
      <c r="G505" s="147" t="s">
        <v>164</v>
      </c>
      <c r="H505" s="148">
        <v>45099</v>
      </c>
      <c r="I505" s="278">
        <v>3.3</v>
      </c>
      <c r="J505" s="279">
        <v>45103</v>
      </c>
      <c r="K505" s="280">
        <v>705</v>
      </c>
      <c r="L505" s="280">
        <v>872</v>
      </c>
      <c r="M505" s="281">
        <v>549999997.79999995</v>
      </c>
      <c r="N505" s="281">
        <v>0</v>
      </c>
      <c r="O505" s="281">
        <v>549999997.79999995</v>
      </c>
      <c r="P505" s="280">
        <v>115308817.51855423</v>
      </c>
      <c r="Q505" s="282">
        <v>1.7836404071345617E-2</v>
      </c>
      <c r="R505" s="283">
        <v>0.74633372698533496</v>
      </c>
      <c r="S505" s="283">
        <v>0.23578803694315217</v>
      </c>
      <c r="T505" s="284">
        <v>4.1832000167328E-5</v>
      </c>
      <c r="U505" s="1"/>
    </row>
    <row r="506" spans="2:21" ht="13.5" thickTop="1" thickBot="1" x14ac:dyDescent="0.3">
      <c r="B506" s="146" t="s">
        <v>212</v>
      </c>
      <c r="C506" s="147" t="s">
        <v>179</v>
      </c>
      <c r="D506" s="277" t="s">
        <v>168</v>
      </c>
      <c r="E506" s="277" t="s">
        <v>204</v>
      </c>
      <c r="F506" s="147" t="s">
        <v>24</v>
      </c>
      <c r="G506" s="147" t="s">
        <v>164</v>
      </c>
      <c r="H506" s="148">
        <v>45103</v>
      </c>
      <c r="I506" s="278">
        <v>66.64</v>
      </c>
      <c r="J506" s="279">
        <v>45105</v>
      </c>
      <c r="K506" s="280">
        <v>329</v>
      </c>
      <c r="L506" s="280">
        <v>1138</v>
      </c>
      <c r="M506" s="281">
        <v>4500000079.6800003</v>
      </c>
      <c r="N506" s="281">
        <v>0</v>
      </c>
      <c r="O506" s="281">
        <v>4500000079.6800003</v>
      </c>
      <c r="P506" s="280">
        <v>926631402.4421885</v>
      </c>
      <c r="Q506" s="282">
        <v>2.1279484423211261E-3</v>
      </c>
      <c r="R506" s="283">
        <v>0.41592212017318342</v>
      </c>
      <c r="S506" s="283">
        <v>0.57999444725912053</v>
      </c>
      <c r="T506" s="284">
        <v>1.955484125374894E-3</v>
      </c>
      <c r="U506" s="1"/>
    </row>
    <row r="507" spans="2:21" ht="13.5" thickTop="1" thickBot="1" x14ac:dyDescent="0.3">
      <c r="B507" s="146" t="s">
        <v>503</v>
      </c>
      <c r="C507" s="147" t="s">
        <v>179</v>
      </c>
      <c r="D507" s="277" t="s">
        <v>168</v>
      </c>
      <c r="E507" s="277" t="s">
        <v>348</v>
      </c>
      <c r="F507" s="147" t="s">
        <v>24</v>
      </c>
      <c r="G507" s="147" t="s">
        <v>164</v>
      </c>
      <c r="H507" s="148">
        <v>45106</v>
      </c>
      <c r="I507" s="278">
        <v>11</v>
      </c>
      <c r="J507" s="279">
        <v>45107</v>
      </c>
      <c r="K507" s="280">
        <v>828</v>
      </c>
      <c r="L507" s="280">
        <v>1262</v>
      </c>
      <c r="M507" s="281">
        <v>868192589</v>
      </c>
      <c r="N507" s="281">
        <v>434096289</v>
      </c>
      <c r="O507" s="281">
        <v>1302288878</v>
      </c>
      <c r="P507" s="280">
        <v>270229265.8532536</v>
      </c>
      <c r="Q507" s="282">
        <v>1.8056861574456294E-3</v>
      </c>
      <c r="R507" s="283">
        <v>0.3301534561673497</v>
      </c>
      <c r="S507" s="283">
        <v>0.45902915635589109</v>
      </c>
      <c r="T507" s="284">
        <v>0.20901170131931357</v>
      </c>
      <c r="U507" s="1"/>
    </row>
    <row r="508" spans="2:21" ht="13.5" thickTop="1" thickBot="1" x14ac:dyDescent="0.3">
      <c r="B508" s="146" t="s">
        <v>353</v>
      </c>
      <c r="C508" s="147" t="s">
        <v>179</v>
      </c>
      <c r="D508" s="277" t="s">
        <v>87</v>
      </c>
      <c r="E508" s="277" t="s">
        <v>204</v>
      </c>
      <c r="F508" s="147" t="s">
        <v>24</v>
      </c>
      <c r="G508" s="147" t="s">
        <v>164</v>
      </c>
      <c r="H508" s="148">
        <v>45106</v>
      </c>
      <c r="I508" s="278">
        <v>18.25</v>
      </c>
      <c r="J508" s="279">
        <v>45110</v>
      </c>
      <c r="K508" s="280">
        <v>514</v>
      </c>
      <c r="L508" s="280">
        <v>884</v>
      </c>
      <c r="M508" s="281">
        <v>428875000</v>
      </c>
      <c r="N508" s="281">
        <v>0</v>
      </c>
      <c r="O508" s="281">
        <v>428875000</v>
      </c>
      <c r="P508" s="280">
        <v>89580374.300275713</v>
      </c>
      <c r="Q508" s="282">
        <v>4.0331489361702128E-3</v>
      </c>
      <c r="R508" s="283">
        <v>0.63431285106382984</v>
      </c>
      <c r="S508" s="283">
        <v>0.35717612765957446</v>
      </c>
      <c r="T508" s="284">
        <v>4.4778723404255323E-3</v>
      </c>
      <c r="U508" s="1"/>
    </row>
    <row r="509" spans="2:21" ht="13.5" thickTop="1" thickBot="1" x14ac:dyDescent="0.3">
      <c r="B509" s="146" t="s">
        <v>484</v>
      </c>
      <c r="C509" s="147" t="s">
        <v>179</v>
      </c>
      <c r="D509" s="277" t="s">
        <v>107</v>
      </c>
      <c r="E509" s="277" t="s">
        <v>204</v>
      </c>
      <c r="F509" s="147" t="s">
        <v>24</v>
      </c>
      <c r="G509" s="147" t="s">
        <v>164</v>
      </c>
      <c r="H509" s="148">
        <v>45119</v>
      </c>
      <c r="I509" s="278">
        <v>3.4</v>
      </c>
      <c r="J509" s="279">
        <v>45119</v>
      </c>
      <c r="K509" s="280">
        <v>1</v>
      </c>
      <c r="L509" s="280">
        <v>167</v>
      </c>
      <c r="M509" s="281">
        <v>0</v>
      </c>
      <c r="N509" s="281">
        <v>442000000</v>
      </c>
      <c r="O509" s="281">
        <v>442000000</v>
      </c>
      <c r="P509" s="280">
        <v>91972200.258021563</v>
      </c>
      <c r="Q509" s="282">
        <v>2.4537692307692307E-3</v>
      </c>
      <c r="R509" s="283">
        <v>0.58281086923076919</v>
      </c>
      <c r="S509" s="283">
        <v>0.22242766923076923</v>
      </c>
      <c r="T509" s="284">
        <v>0.19230769230769232</v>
      </c>
      <c r="U509" s="1"/>
    </row>
    <row r="510" spans="2:21" ht="13.5" thickTop="1" thickBot="1" x14ac:dyDescent="0.3">
      <c r="B510" s="146" t="s">
        <v>307</v>
      </c>
      <c r="C510" s="147" t="s">
        <v>179</v>
      </c>
      <c r="D510" s="277" t="s">
        <v>87</v>
      </c>
      <c r="E510" s="277" t="s">
        <v>348</v>
      </c>
      <c r="F510" s="147" t="s">
        <v>24</v>
      </c>
      <c r="G510" s="147" t="s">
        <v>164</v>
      </c>
      <c r="H510" s="148">
        <v>45120</v>
      </c>
      <c r="I510" s="278">
        <v>12.8</v>
      </c>
      <c r="J510" s="279">
        <v>45124</v>
      </c>
      <c r="K510" s="280">
        <v>406</v>
      </c>
      <c r="L510" s="280">
        <v>839</v>
      </c>
      <c r="M510" s="281">
        <v>1000793600</v>
      </c>
      <c r="N510" s="281">
        <v>0</v>
      </c>
      <c r="O510" s="281">
        <v>1000793600</v>
      </c>
      <c r="P510" s="280">
        <v>207195064.38656786</v>
      </c>
      <c r="Q510" s="282">
        <v>2.3110875209433794E-3</v>
      </c>
      <c r="R510" s="283">
        <v>0.63745205724736853</v>
      </c>
      <c r="S510" s="283">
        <v>0.35017959507334984</v>
      </c>
      <c r="T510" s="284">
        <v>1.0057260158338343E-2</v>
      </c>
      <c r="U510" s="1"/>
    </row>
    <row r="511" spans="2:21" ht="13.5" thickTop="1" thickBot="1" x14ac:dyDescent="0.3">
      <c r="B511" s="146" t="s">
        <v>560</v>
      </c>
      <c r="C511" s="147" t="s">
        <v>179</v>
      </c>
      <c r="D511" s="277" t="s">
        <v>160</v>
      </c>
      <c r="E511" s="277" t="s">
        <v>487</v>
      </c>
      <c r="F511" s="147" t="s">
        <v>24</v>
      </c>
      <c r="G511" s="147" t="s">
        <v>164</v>
      </c>
      <c r="H511" s="148">
        <v>45121</v>
      </c>
      <c r="I511" s="278">
        <v>9</v>
      </c>
      <c r="J511" s="279">
        <v>45124</v>
      </c>
      <c r="K511" s="280">
        <v>503</v>
      </c>
      <c r="L511" s="280">
        <v>890</v>
      </c>
      <c r="M511" s="281">
        <v>5400000000</v>
      </c>
      <c r="N511" s="281">
        <v>0</v>
      </c>
      <c r="O511" s="281">
        <v>5400000000</v>
      </c>
      <c r="P511" s="280">
        <v>1117966129.7668834</v>
      </c>
      <c r="Q511" s="282">
        <v>6.5553033333333333E-3</v>
      </c>
      <c r="R511" s="283">
        <v>0.25606684666666668</v>
      </c>
      <c r="S511" s="283">
        <v>0.40318886333333331</v>
      </c>
      <c r="T511" s="284">
        <v>0.33418898666666669</v>
      </c>
      <c r="U511" s="1"/>
    </row>
    <row r="512" spans="2:21" ht="13.5" thickTop="1" thickBot="1" x14ac:dyDescent="0.3">
      <c r="B512" s="146" t="s">
        <v>561</v>
      </c>
      <c r="C512" s="147" t="s">
        <v>179</v>
      </c>
      <c r="D512" s="277" t="s">
        <v>169</v>
      </c>
      <c r="E512" s="277" t="s">
        <v>562</v>
      </c>
      <c r="F512" s="147" t="s">
        <v>24</v>
      </c>
      <c r="G512" s="147" t="s">
        <v>164</v>
      </c>
      <c r="H512" s="148">
        <v>45139</v>
      </c>
      <c r="I512" s="278">
        <v>21.21</v>
      </c>
      <c r="J512" s="279">
        <v>45139</v>
      </c>
      <c r="K512" s="280">
        <v>5</v>
      </c>
      <c r="L512" s="280">
        <v>195</v>
      </c>
      <c r="M512" s="281">
        <v>778348630.08000004</v>
      </c>
      <c r="N512" s="281">
        <v>445410000</v>
      </c>
      <c r="O512" s="281">
        <v>1223758630.0799999</v>
      </c>
      <c r="P512" s="280">
        <v>256273795.87870663</v>
      </c>
      <c r="Q512" s="282">
        <v>1.4167400150523642E-3</v>
      </c>
      <c r="R512" s="283">
        <v>0.57070897038278157</v>
      </c>
      <c r="S512" s="283">
        <v>0.41790552991366242</v>
      </c>
      <c r="T512" s="284">
        <v>9.968759688503687E-3</v>
      </c>
      <c r="U512" s="1"/>
    </row>
    <row r="513" spans="2:21" ht="13.5" thickTop="1" thickBot="1" x14ac:dyDescent="0.3">
      <c r="B513" s="146" t="s">
        <v>563</v>
      </c>
      <c r="C513" s="147" t="s">
        <v>184</v>
      </c>
      <c r="D513" s="277" t="s">
        <v>131</v>
      </c>
      <c r="E513" s="277" t="s">
        <v>564</v>
      </c>
      <c r="F513" s="147" t="s">
        <v>24</v>
      </c>
      <c r="G513" s="147" t="s">
        <v>164</v>
      </c>
      <c r="H513" s="148">
        <v>45146</v>
      </c>
      <c r="I513" s="278">
        <v>8.25</v>
      </c>
      <c r="J513" s="279">
        <v>45148</v>
      </c>
      <c r="K513" s="280">
        <v>3838</v>
      </c>
      <c r="L513" s="280">
        <v>4473</v>
      </c>
      <c r="M513" s="281">
        <v>2031618938.25</v>
      </c>
      <c r="N513" s="281">
        <v>3099820424.25</v>
      </c>
      <c r="O513" s="281">
        <v>5131439362.5</v>
      </c>
      <c r="P513" s="280">
        <v>1042615226.9541011</v>
      </c>
      <c r="Q513" s="282">
        <v>1.6074064540794814E-2</v>
      </c>
      <c r="R513" s="283">
        <v>0.55441000468413892</v>
      </c>
      <c r="S513" s="283">
        <v>0.44362849946860305</v>
      </c>
      <c r="T513" s="284">
        <v>1.2477414323143528E-3</v>
      </c>
      <c r="U513" s="1"/>
    </row>
    <row r="514" spans="2:21" ht="13.5" thickTop="1" thickBot="1" x14ac:dyDescent="0.3">
      <c r="B514" s="146" t="s">
        <v>323</v>
      </c>
      <c r="C514" s="147" t="s">
        <v>179</v>
      </c>
      <c r="D514" s="277" t="s">
        <v>87</v>
      </c>
      <c r="E514" s="277" t="s">
        <v>565</v>
      </c>
      <c r="F514" s="147" t="s">
        <v>24</v>
      </c>
      <c r="G514" s="147" t="s">
        <v>164</v>
      </c>
      <c r="H514" s="148">
        <v>45173</v>
      </c>
      <c r="I514" s="278">
        <v>12.5</v>
      </c>
      <c r="J514" s="279">
        <v>45175</v>
      </c>
      <c r="K514" s="280">
        <v>56</v>
      </c>
      <c r="L514" s="280">
        <v>239</v>
      </c>
      <c r="M514" s="281">
        <v>187500000</v>
      </c>
      <c r="N514" s="281">
        <v>46875000</v>
      </c>
      <c r="O514" s="281">
        <v>234375000</v>
      </c>
      <c r="P514" s="280">
        <v>47660444.119082481</v>
      </c>
      <c r="Q514" s="282">
        <v>3.6344533333333333E-3</v>
      </c>
      <c r="R514" s="283">
        <v>0.84315152000000004</v>
      </c>
      <c r="S514" s="283">
        <v>0.14738138666666667</v>
      </c>
      <c r="T514" s="284">
        <v>5.83264E-3</v>
      </c>
      <c r="U514" s="1"/>
    </row>
    <row r="515" spans="2:21" ht="13.5" thickTop="1" thickBot="1" x14ac:dyDescent="0.3">
      <c r="B515" s="146" t="s">
        <v>566</v>
      </c>
      <c r="C515" s="147" t="s">
        <v>179</v>
      </c>
      <c r="D515" s="277" t="s">
        <v>151</v>
      </c>
      <c r="E515" s="277" t="s">
        <v>567</v>
      </c>
      <c r="F515" s="147" t="s">
        <v>24</v>
      </c>
      <c r="G515" s="147" t="s">
        <v>164</v>
      </c>
      <c r="H515" s="148">
        <v>45182</v>
      </c>
      <c r="I515" s="278">
        <v>0.8</v>
      </c>
      <c r="J515" s="279">
        <v>45187</v>
      </c>
      <c r="K515" s="280">
        <v>1700</v>
      </c>
      <c r="L515" s="280">
        <v>2084</v>
      </c>
      <c r="M515" s="281">
        <v>622919426.39999998</v>
      </c>
      <c r="N515" s="281">
        <v>0</v>
      </c>
      <c r="O515" s="281">
        <v>622919426.39999998</v>
      </c>
      <c r="P515" s="280">
        <v>126684311.1590165</v>
      </c>
      <c r="Q515" s="282">
        <v>1.6066568445038946E-2</v>
      </c>
      <c r="R515" s="283">
        <v>0.6998334178136012</v>
      </c>
      <c r="S515" s="283">
        <v>0.15219737382073723</v>
      </c>
      <c r="T515" s="284">
        <v>0.13190263992062265</v>
      </c>
      <c r="U515" s="1"/>
    </row>
    <row r="516" spans="2:21" ht="13.5" thickTop="1" thickBot="1" x14ac:dyDescent="0.3">
      <c r="B516" s="146" t="s">
        <v>531</v>
      </c>
      <c r="C516" s="147" t="s">
        <v>184</v>
      </c>
      <c r="D516" s="277" t="s">
        <v>170</v>
      </c>
      <c r="E516" s="277" t="s">
        <v>568</v>
      </c>
      <c r="F516" s="147" t="s">
        <v>24</v>
      </c>
      <c r="G516" s="147" t="s">
        <v>164</v>
      </c>
      <c r="H516" s="148">
        <v>45195</v>
      </c>
      <c r="I516" s="278">
        <v>4.25</v>
      </c>
      <c r="J516" s="279">
        <v>45197</v>
      </c>
      <c r="K516" s="280">
        <v>0</v>
      </c>
      <c r="L516" s="280">
        <v>92</v>
      </c>
      <c r="M516" s="281">
        <v>0</v>
      </c>
      <c r="N516" s="281">
        <v>214479747.75</v>
      </c>
      <c r="O516" s="281">
        <v>214479747.75</v>
      </c>
      <c r="P516" s="280">
        <v>43140122.644165978</v>
      </c>
      <c r="Q516" s="282">
        <v>0</v>
      </c>
      <c r="R516" s="283">
        <v>0.20620291875553085</v>
      </c>
      <c r="S516" s="283">
        <v>8.0505969356726825E-2</v>
      </c>
      <c r="T516" s="284">
        <v>4.6624445221075658E-2</v>
      </c>
      <c r="U516" s="1"/>
    </row>
    <row r="517" spans="2:21" ht="13.5" thickTop="1" thickBot="1" x14ac:dyDescent="0.3">
      <c r="B517" s="146" t="s">
        <v>471</v>
      </c>
      <c r="C517" s="147" t="s">
        <v>179</v>
      </c>
      <c r="D517" s="277" t="s">
        <v>67</v>
      </c>
      <c r="E517" s="277" t="s">
        <v>568</v>
      </c>
      <c r="F517" s="147" t="s">
        <v>24</v>
      </c>
      <c r="G517" s="147" t="s">
        <v>164</v>
      </c>
      <c r="H517" s="148">
        <v>45230</v>
      </c>
      <c r="I517" s="278">
        <v>13.25</v>
      </c>
      <c r="J517" s="279">
        <v>45233</v>
      </c>
      <c r="K517" s="280">
        <v>443</v>
      </c>
      <c r="L517" s="280">
        <v>590</v>
      </c>
      <c r="M517" s="281">
        <v>716908223.25</v>
      </c>
      <c r="N517" s="281">
        <v>0</v>
      </c>
      <c r="O517" s="281">
        <v>716908223.25</v>
      </c>
      <c r="P517" s="280">
        <v>146577023.76814556</v>
      </c>
      <c r="Q517" s="282">
        <v>6.9943820385659104E-4</v>
      </c>
      <c r="R517" s="283">
        <v>0.19267897935916165</v>
      </c>
      <c r="S517" s="283">
        <v>2.0831038082251487E-2</v>
      </c>
      <c r="T517" s="284">
        <v>0.78139789352737066</v>
      </c>
      <c r="U517" s="1"/>
    </row>
    <row r="518" spans="2:21" ht="13.5" thickTop="1" thickBot="1" x14ac:dyDescent="0.3">
      <c r="B518" s="146" t="s">
        <v>384</v>
      </c>
      <c r="C518" s="147" t="s">
        <v>179</v>
      </c>
      <c r="D518" s="277" t="s">
        <v>120</v>
      </c>
      <c r="E518" s="277" t="s">
        <v>569</v>
      </c>
      <c r="F518" s="147" t="s">
        <v>24</v>
      </c>
      <c r="G518" s="147" t="s">
        <v>164</v>
      </c>
      <c r="H518" s="148">
        <v>45230</v>
      </c>
      <c r="I518" s="278">
        <v>28</v>
      </c>
      <c r="J518" s="279">
        <v>45236</v>
      </c>
      <c r="K518" s="280">
        <v>461</v>
      </c>
      <c r="L518" s="280">
        <v>659</v>
      </c>
      <c r="M518" s="281">
        <v>202454000</v>
      </c>
      <c r="N518" s="281">
        <v>200000024</v>
      </c>
      <c r="O518" s="281">
        <v>402454024</v>
      </c>
      <c r="P518" s="280">
        <v>82135150.513275787</v>
      </c>
      <c r="Q518" s="282">
        <v>2.7580889587527145E-3</v>
      </c>
      <c r="R518" s="283">
        <v>0.68327561311699048</v>
      </c>
      <c r="S518" s="283">
        <v>0.3138984640889067</v>
      </c>
      <c r="T518" s="284">
        <v>6.7833835350097037E-5</v>
      </c>
      <c r="U518" s="1"/>
    </row>
    <row r="519" spans="2:21" ht="13.5" thickTop="1" thickBot="1" x14ac:dyDescent="0.3">
      <c r="B519" s="146" t="s">
        <v>495</v>
      </c>
      <c r="C519" s="147" t="s">
        <v>179</v>
      </c>
      <c r="D519" s="277" t="s">
        <v>101</v>
      </c>
      <c r="E519" s="277" t="s">
        <v>570</v>
      </c>
      <c r="F519" s="147" t="s">
        <v>24</v>
      </c>
      <c r="G519" s="147" t="s">
        <v>164</v>
      </c>
      <c r="H519" s="148">
        <v>45260</v>
      </c>
      <c r="I519" s="278">
        <v>0.84</v>
      </c>
      <c r="J519" s="279">
        <v>45264</v>
      </c>
      <c r="K519" s="280">
        <v>642</v>
      </c>
      <c r="L519" s="280">
        <v>788</v>
      </c>
      <c r="M519" s="281">
        <v>400000000.68000001</v>
      </c>
      <c r="N519" s="281">
        <v>0</v>
      </c>
      <c r="O519" s="281">
        <v>400000000.68000001</v>
      </c>
      <c r="P519" s="280">
        <v>81481330.7286468</v>
      </c>
      <c r="Q519" s="282">
        <v>8.1208469861945604E-4</v>
      </c>
      <c r="R519" s="283">
        <v>3.0870230947520607E-3</v>
      </c>
      <c r="S519" s="283">
        <v>5.0588390913999734E-3</v>
      </c>
      <c r="T519" s="284">
        <v>0.98570771082429687</v>
      </c>
      <c r="U519" s="1"/>
    </row>
    <row r="520" spans="2:21" ht="13.5" thickTop="1" thickBot="1" x14ac:dyDescent="0.3">
      <c r="B520" s="146" t="s">
        <v>525</v>
      </c>
      <c r="C520" s="147" t="s">
        <v>179</v>
      </c>
      <c r="D520" s="277" t="s">
        <v>146</v>
      </c>
      <c r="E520" s="277" t="s">
        <v>569</v>
      </c>
      <c r="F520" s="147" t="s">
        <v>24</v>
      </c>
      <c r="G520" s="147" t="s">
        <v>164</v>
      </c>
      <c r="H520" s="148">
        <v>45274</v>
      </c>
      <c r="I520" s="278">
        <v>1.6</v>
      </c>
      <c r="J520" s="279">
        <v>45278</v>
      </c>
      <c r="K520" s="280">
        <v>237</v>
      </c>
      <c r="L520" s="280">
        <v>360</v>
      </c>
      <c r="M520" s="281">
        <v>400000000</v>
      </c>
      <c r="N520" s="281">
        <v>0</v>
      </c>
      <c r="O520" s="281">
        <v>400000000</v>
      </c>
      <c r="P520" s="280">
        <v>80973299.054636732</v>
      </c>
      <c r="Q520" s="282">
        <v>1.8171179999999999E-2</v>
      </c>
      <c r="R520" s="283">
        <v>0.30932751200000003</v>
      </c>
      <c r="S520" s="283">
        <v>0.47062782400000008</v>
      </c>
      <c r="T520" s="284">
        <v>7.0200880000000007E-3</v>
      </c>
      <c r="U520" s="1"/>
    </row>
    <row r="521" spans="2:21" ht="13.5" thickTop="1" thickBot="1" x14ac:dyDescent="0.3">
      <c r="B521" s="146" t="s">
        <v>416</v>
      </c>
      <c r="C521" s="147" t="s">
        <v>184</v>
      </c>
      <c r="D521" s="277" t="s">
        <v>131</v>
      </c>
      <c r="E521" s="277" t="s">
        <v>571</v>
      </c>
      <c r="F521" s="147" t="s">
        <v>24</v>
      </c>
      <c r="G521" s="147" t="s">
        <v>164</v>
      </c>
      <c r="H521" s="148">
        <v>45320</v>
      </c>
      <c r="I521" s="278">
        <v>9.9600000000000009</v>
      </c>
      <c r="J521" s="279">
        <v>45322</v>
      </c>
      <c r="K521" s="280">
        <v>86</v>
      </c>
      <c r="L521" s="280">
        <v>1675</v>
      </c>
      <c r="M521" s="281">
        <v>2493367705.0800004</v>
      </c>
      <c r="N521" s="281">
        <v>0</v>
      </c>
      <c r="O521" s="281">
        <v>2493367705.0800004</v>
      </c>
      <c r="P521" s="280">
        <v>503354740.09892005</v>
      </c>
      <c r="Q521" s="282">
        <v>1.1148122253836661E-4</v>
      </c>
      <c r="R521" s="283">
        <v>0.39021079502141981</v>
      </c>
      <c r="S521" s="283">
        <v>0.22598613156494743</v>
      </c>
      <c r="T521" s="284">
        <v>0.37368117120539407</v>
      </c>
      <c r="U521" s="1"/>
    </row>
    <row r="522" spans="2:21" ht="13.5" thickTop="1" thickBot="1" x14ac:dyDescent="0.3">
      <c r="B522" s="146" t="s">
        <v>435</v>
      </c>
      <c r="C522" s="147" t="s">
        <v>572</v>
      </c>
      <c r="D522" s="277" t="s">
        <v>171</v>
      </c>
      <c r="E522" s="277" t="s">
        <v>568</v>
      </c>
      <c r="F522" s="147" t="s">
        <v>24</v>
      </c>
      <c r="G522" s="147" t="s">
        <v>164</v>
      </c>
      <c r="H522" s="148">
        <v>45328</v>
      </c>
      <c r="I522" s="278">
        <v>18.5</v>
      </c>
      <c r="J522" s="279">
        <v>45330</v>
      </c>
      <c r="K522" s="280">
        <v>132</v>
      </c>
      <c r="L522" s="280">
        <v>363</v>
      </c>
      <c r="M522" s="281">
        <v>501350000</v>
      </c>
      <c r="N522" s="281">
        <v>0</v>
      </c>
      <c r="O522" s="281">
        <v>501350000</v>
      </c>
      <c r="P522" s="280">
        <v>100901644.29327591</v>
      </c>
      <c r="Q522" s="282">
        <v>9.4103690036900361E-3</v>
      </c>
      <c r="R522" s="283">
        <v>0.57320147601476013</v>
      </c>
      <c r="S522" s="283">
        <v>0.22573583025830257</v>
      </c>
      <c r="T522" s="284">
        <v>0.19165232472324722</v>
      </c>
      <c r="U522" s="1"/>
    </row>
    <row r="523" spans="2:21" ht="13.5" thickTop="1" thickBot="1" x14ac:dyDescent="0.3">
      <c r="B523" s="146" t="s">
        <v>467</v>
      </c>
      <c r="C523" s="147" t="s">
        <v>179</v>
      </c>
      <c r="D523" s="277" t="s">
        <v>172</v>
      </c>
      <c r="E523" s="277" t="s">
        <v>569</v>
      </c>
      <c r="F523" s="147" t="s">
        <v>24</v>
      </c>
      <c r="G523" s="147" t="s">
        <v>164</v>
      </c>
      <c r="H523" s="148">
        <v>45330</v>
      </c>
      <c r="I523" s="278">
        <v>11.44</v>
      </c>
      <c r="J523" s="279">
        <v>45336</v>
      </c>
      <c r="K523" s="280">
        <v>101</v>
      </c>
      <c r="L523" s="280">
        <v>176</v>
      </c>
      <c r="M523" s="281">
        <v>89375000</v>
      </c>
      <c r="N523" s="281">
        <v>0</v>
      </c>
      <c r="O523" s="281">
        <v>89375000</v>
      </c>
      <c r="P523" s="280">
        <v>17945345.755361013</v>
      </c>
      <c r="Q523" s="282">
        <v>1.2928000000000001E-5</v>
      </c>
      <c r="R523" s="283">
        <v>0.93813235200000011</v>
      </c>
      <c r="S523" s="283">
        <v>4.2719488E-2</v>
      </c>
      <c r="T523" s="284">
        <v>4.0396799999999995E-3</v>
      </c>
      <c r="U523" s="1"/>
    </row>
    <row r="524" spans="2:21" ht="13.5" thickTop="1" thickBot="1" x14ac:dyDescent="0.3">
      <c r="B524" s="146" t="s">
        <v>573</v>
      </c>
      <c r="C524" s="147" t="s">
        <v>179</v>
      </c>
      <c r="D524" s="277" t="s">
        <v>115</v>
      </c>
      <c r="E524" s="277" t="s">
        <v>571</v>
      </c>
      <c r="F524" s="147" t="s">
        <v>24</v>
      </c>
      <c r="G524" s="147" t="s">
        <v>164</v>
      </c>
      <c r="H524" s="148">
        <v>45364</v>
      </c>
      <c r="I524" s="278">
        <v>3.2</v>
      </c>
      <c r="J524" s="279">
        <v>45366</v>
      </c>
      <c r="K524" s="280">
        <v>147</v>
      </c>
      <c r="L524" s="280">
        <v>389</v>
      </c>
      <c r="M524" s="281">
        <v>704000000</v>
      </c>
      <c r="N524" s="281">
        <v>0</v>
      </c>
      <c r="O524" s="281">
        <v>704000000</v>
      </c>
      <c r="P524" s="280">
        <v>140977631.81608829</v>
      </c>
      <c r="Q524" s="282">
        <v>6.3961545454545451E-2</v>
      </c>
      <c r="R524" s="283">
        <v>0.45772170909090909</v>
      </c>
      <c r="S524" s="283">
        <v>0.4549614818181818</v>
      </c>
      <c r="T524" s="284">
        <v>2.3355263636363637E-2</v>
      </c>
      <c r="U524" s="1"/>
    </row>
    <row r="525" spans="2:21" ht="13.5" thickTop="1" thickBot="1" x14ac:dyDescent="0.3">
      <c r="B525" s="146" t="s">
        <v>574</v>
      </c>
      <c r="C525" s="147" t="s">
        <v>179</v>
      </c>
      <c r="D525" s="277" t="s">
        <v>131</v>
      </c>
      <c r="E525" s="277" t="s">
        <v>568</v>
      </c>
      <c r="F525" s="147" t="s">
        <v>24</v>
      </c>
      <c r="G525" s="147" t="s">
        <v>164</v>
      </c>
      <c r="H525" s="148">
        <v>45378</v>
      </c>
      <c r="I525" s="278">
        <v>9</v>
      </c>
      <c r="J525" s="279">
        <v>45383</v>
      </c>
      <c r="K525" s="280">
        <v>1</v>
      </c>
      <c r="L525" s="280">
        <v>258</v>
      </c>
      <c r="M525" s="281">
        <v>0</v>
      </c>
      <c r="N525" s="281">
        <v>775386783</v>
      </c>
      <c r="O525" s="281">
        <v>775386783</v>
      </c>
      <c r="P525" s="280">
        <v>153444704.9394443</v>
      </c>
      <c r="Q525" s="282">
        <v>3.0190094173942089E-5</v>
      </c>
      <c r="R525" s="283">
        <v>0.59505323293600687</v>
      </c>
      <c r="S525" s="283">
        <v>0.31721839266893975</v>
      </c>
      <c r="T525" s="284">
        <v>8.3829139759788757E-2</v>
      </c>
      <c r="U525" s="1"/>
    </row>
    <row r="526" spans="2:21" ht="13.5" thickTop="1" thickBot="1" x14ac:dyDescent="0.3">
      <c r="B526" s="146" t="s">
        <v>521</v>
      </c>
      <c r="C526" s="147" t="s">
        <v>179</v>
      </c>
      <c r="D526" s="277" t="s">
        <v>106</v>
      </c>
      <c r="E526" s="277" t="s">
        <v>575</v>
      </c>
      <c r="F526" s="147" t="s">
        <v>24</v>
      </c>
      <c r="G526" s="147" t="s">
        <v>164</v>
      </c>
      <c r="H526" s="148">
        <v>45400</v>
      </c>
      <c r="I526" s="278">
        <v>16.5</v>
      </c>
      <c r="J526" s="279">
        <v>45404</v>
      </c>
      <c r="K526" s="280">
        <v>265</v>
      </c>
      <c r="L526" s="280">
        <v>414</v>
      </c>
      <c r="M526" s="281">
        <v>299999997</v>
      </c>
      <c r="N526" s="281">
        <v>0</v>
      </c>
      <c r="O526" s="281">
        <v>299999997</v>
      </c>
      <c r="P526" s="280">
        <v>57129798.331809871</v>
      </c>
      <c r="Q526" s="282">
        <v>1.4569775145697751E-2</v>
      </c>
      <c r="R526" s="283">
        <v>0.5325268903252689</v>
      </c>
      <c r="S526" s="283">
        <v>5.1685040516850404E-2</v>
      </c>
      <c r="T526" s="284">
        <v>0.40121829401218295</v>
      </c>
      <c r="U526" s="1"/>
    </row>
    <row r="527" spans="2:21" ht="13.5" thickTop="1" thickBot="1" x14ac:dyDescent="0.3">
      <c r="B527" s="146" t="s">
        <v>576</v>
      </c>
      <c r="C527" s="147" t="s">
        <v>189</v>
      </c>
      <c r="D527" s="277" t="s">
        <v>131</v>
      </c>
      <c r="E527" s="277" t="s">
        <v>577</v>
      </c>
      <c r="F527" s="147" t="s">
        <v>24</v>
      </c>
      <c r="G527" s="147" t="s">
        <v>164</v>
      </c>
      <c r="H527" s="148">
        <v>45491</v>
      </c>
      <c r="I527" s="278">
        <v>23.5</v>
      </c>
      <c r="J527" s="279">
        <v>45495</v>
      </c>
      <c r="K527" s="280">
        <v>14</v>
      </c>
      <c r="L527" s="280">
        <v>337</v>
      </c>
      <c r="M527" s="281">
        <v>0</v>
      </c>
      <c r="N527" s="281">
        <v>2185500000</v>
      </c>
      <c r="O527" s="281">
        <v>2185500000</v>
      </c>
      <c r="P527" s="280">
        <v>393089679.48487353</v>
      </c>
      <c r="Q527" s="282">
        <v>5.6466666666666666E-4</v>
      </c>
      <c r="R527" s="283">
        <v>0.58973763440860216</v>
      </c>
      <c r="S527" s="283">
        <v>0.40851505376344088</v>
      </c>
      <c r="T527" s="284">
        <v>0</v>
      </c>
      <c r="U527" s="1"/>
    </row>
    <row r="528" spans="2:21" ht="13.5" thickTop="1" thickBot="1" x14ac:dyDescent="0.3">
      <c r="B528" s="146" t="s">
        <v>196</v>
      </c>
      <c r="C528" s="147" t="s">
        <v>179</v>
      </c>
      <c r="D528" s="277" t="s">
        <v>67</v>
      </c>
      <c r="E528" s="277" t="s">
        <v>568</v>
      </c>
      <c r="F528" s="147" t="s">
        <v>24</v>
      </c>
      <c r="G528" s="147" t="s">
        <v>164</v>
      </c>
      <c r="H528" s="148">
        <v>45491</v>
      </c>
      <c r="I528" s="278">
        <v>67</v>
      </c>
      <c r="J528" s="279">
        <v>45492</v>
      </c>
      <c r="K528" s="280">
        <v>17572</v>
      </c>
      <c r="L528" s="280">
        <v>19543</v>
      </c>
      <c r="M528" s="281">
        <v>0</v>
      </c>
      <c r="N528" s="281">
        <v>14771490000</v>
      </c>
      <c r="O528" s="281">
        <v>14771490000</v>
      </c>
      <c r="P528" s="280">
        <v>2659469240.0482512</v>
      </c>
      <c r="Q528" s="282">
        <v>9.9813598221980313E-2</v>
      </c>
      <c r="R528" s="283">
        <v>0.22569861659182655</v>
      </c>
      <c r="S528" s="283">
        <v>0.19636581847870457</v>
      </c>
      <c r="T528" s="284">
        <v>0.47000520705764959</v>
      </c>
      <c r="U528" s="1"/>
    </row>
    <row r="529" spans="2:21" ht="13.5" thickTop="1" thickBot="1" x14ac:dyDescent="0.3">
      <c r="B529" s="146" t="s">
        <v>434</v>
      </c>
      <c r="C529" s="147" t="s">
        <v>179</v>
      </c>
      <c r="D529" s="277" t="s">
        <v>131</v>
      </c>
      <c r="E529" s="277" t="s">
        <v>568</v>
      </c>
      <c r="F529" s="147" t="s">
        <v>24</v>
      </c>
      <c r="G529" s="147" t="s">
        <v>164</v>
      </c>
      <c r="H529" s="148">
        <v>45575</v>
      </c>
      <c r="I529" s="278">
        <v>14</v>
      </c>
      <c r="J529" s="279">
        <v>45579</v>
      </c>
      <c r="K529" s="280">
        <v>65</v>
      </c>
      <c r="L529" s="280">
        <v>254</v>
      </c>
      <c r="M529" s="281">
        <v>3200000006</v>
      </c>
      <c r="N529" s="281">
        <v>0</v>
      </c>
      <c r="O529" s="281">
        <v>3200000006</v>
      </c>
      <c r="P529" s="280">
        <v>570969757.5162816</v>
      </c>
      <c r="Q529" s="282">
        <v>9.7562499817070309E-6</v>
      </c>
      <c r="R529" s="283">
        <v>0.10784016229779969</v>
      </c>
      <c r="S529" s="283">
        <v>6.8098121747316026E-2</v>
      </c>
      <c r="T529" s="284">
        <v>0.8239672859550613</v>
      </c>
      <c r="U529" s="1"/>
    </row>
    <row r="530" spans="2:21" ht="13.5" thickTop="1" thickBot="1" x14ac:dyDescent="0.3">
      <c r="B530" s="146" t="s">
        <v>669</v>
      </c>
      <c r="C530" s="147" t="s">
        <v>179</v>
      </c>
      <c r="D530" s="277" t="s">
        <v>69</v>
      </c>
      <c r="E530" s="277" t="s">
        <v>670</v>
      </c>
      <c r="F530" s="147" t="s">
        <v>24</v>
      </c>
      <c r="G530" s="147" t="s">
        <v>164</v>
      </c>
      <c r="H530" s="148">
        <v>45735</v>
      </c>
      <c r="I530" s="278">
        <v>14.75</v>
      </c>
      <c r="J530" s="279">
        <v>45737</v>
      </c>
      <c r="K530" s="280">
        <v>5479</v>
      </c>
      <c r="L530" s="280">
        <v>5726</v>
      </c>
      <c r="M530" s="281">
        <v>0</v>
      </c>
      <c r="N530" s="281">
        <v>1215118171.75</v>
      </c>
      <c r="O530" s="281">
        <v>1215118171.75</v>
      </c>
      <c r="P530" s="280">
        <v>212303340.91901809</v>
      </c>
      <c r="Q530" s="282">
        <v>7.8354758790973533E-2</v>
      </c>
      <c r="R530" s="283">
        <v>0.63057635221312791</v>
      </c>
      <c r="S530" s="283">
        <v>0.28348217832501527</v>
      </c>
      <c r="T530" s="284">
        <v>7.5867106708833567E-3</v>
      </c>
      <c r="U530" s="1"/>
    </row>
    <row r="531" spans="2:21" ht="13.5" thickTop="1" thickBot="1" x14ac:dyDescent="0.3">
      <c r="B531" s="146" t="str">
        <f>[1]Base!A531</f>
        <v>AZUL</v>
      </c>
      <c r="C531" s="147" t="str">
        <f>[1]Base!C531</f>
        <v>N2</v>
      </c>
      <c r="D531" s="277" t="s">
        <v>671</v>
      </c>
      <c r="E531" s="277" t="str">
        <f>[1]Base!M531</f>
        <v>UBS BB Corretora de Câmbio, Títulos e Valores Mobiliários S.A</v>
      </c>
      <c r="F531" s="147" t="str">
        <f>[1]Base!F531</f>
        <v>FOLLOW-ON</v>
      </c>
      <c r="G531" s="147" t="s">
        <v>164</v>
      </c>
      <c r="H531" s="148">
        <f>[1]Base!X531</f>
        <v>45761</v>
      </c>
      <c r="I531" s="278">
        <f>[1]Base!W531</f>
        <v>3.58</v>
      </c>
      <c r="J531" s="279">
        <f>[1]Base!J531</f>
        <v>45772</v>
      </c>
      <c r="K531" s="280">
        <f>'[1]SITE (Imprensa)_PT'!K531</f>
        <v>68</v>
      </c>
      <c r="L531" s="280">
        <f>[1]Base!DZ531</f>
        <v>91</v>
      </c>
      <c r="M531" s="281">
        <f>[1]Base!AO531</f>
        <v>1661441659.4200001</v>
      </c>
      <c r="N531" s="281">
        <f>[1]Base!AP531</f>
        <v>0</v>
      </c>
      <c r="O531" s="281">
        <f>[1]Base!AQ531</f>
        <v>1661441659.4200001</v>
      </c>
      <c r="P531" s="280">
        <f>+[1]Base!ED531</f>
        <v>292286061.50625408</v>
      </c>
      <c r="Q531" s="282">
        <f>'[1]SITE (Imprensa)_PT'!P531</f>
        <v>1.4611610261701714E-3</v>
      </c>
      <c r="R531" s="283">
        <f>'[1]SITE (Imprensa)_PT'!Q531</f>
        <v>2.7329912574752306E-2</v>
      </c>
      <c r="S531" s="283">
        <f>'[1]SITE (Imprensa)_PT'!R531</f>
        <v>1.9315225315346208E-5</v>
      </c>
      <c r="T531" s="284">
        <f>'[1]SITE (Imprensa)_PT'!S531</f>
        <v>0.97118961117376212</v>
      </c>
      <c r="U531" s="1"/>
    </row>
    <row r="532" spans="2:21" ht="13" thickTop="1" x14ac:dyDescent="0.25">
      <c r="D532" s="220"/>
      <c r="E532" s="220"/>
      <c r="H532" s="156"/>
      <c r="I532" s="157"/>
      <c r="K532" s="158"/>
      <c r="L532" s="158"/>
      <c r="M532" s="159"/>
      <c r="N532" s="159"/>
      <c r="O532" s="159"/>
      <c r="P532" s="158"/>
      <c r="Q532" s="135"/>
      <c r="R532" s="135"/>
      <c r="S532" s="135"/>
      <c r="T532" s="135"/>
      <c r="U532" s="1"/>
    </row>
    <row r="533" spans="2:21" ht="12.5" x14ac:dyDescent="0.25">
      <c r="D533" s="220"/>
      <c r="E533" s="220"/>
      <c r="H533" s="156"/>
      <c r="I533" s="157"/>
      <c r="K533" s="158"/>
      <c r="L533" s="158"/>
      <c r="M533" s="159"/>
      <c r="N533" s="159"/>
      <c r="O533" s="159"/>
      <c r="P533" s="158"/>
      <c r="Q533" s="135"/>
      <c r="R533" s="135"/>
      <c r="S533" s="135"/>
      <c r="T533" s="135"/>
      <c r="U533" s="1"/>
    </row>
    <row r="534" spans="2:21" ht="13" x14ac:dyDescent="0.3">
      <c r="C534" s="161" t="s">
        <v>173</v>
      </c>
      <c r="J534" s="4"/>
      <c r="Q534" s="1"/>
      <c r="R534" s="1"/>
      <c r="S534" s="1"/>
      <c r="T534" s="1"/>
      <c r="U534" s="1"/>
    </row>
    <row r="535" spans="2:21" ht="13" x14ac:dyDescent="0.3">
      <c r="C535" s="161" t="s">
        <v>174</v>
      </c>
      <c r="J535" s="4"/>
      <c r="Q535" s="1"/>
      <c r="R535" s="1"/>
      <c r="S535" s="1"/>
      <c r="T535" s="1"/>
      <c r="U535" s="1"/>
    </row>
    <row r="536" spans="2:21" ht="13" x14ac:dyDescent="0.3">
      <c r="C536" s="161" t="s">
        <v>175</v>
      </c>
      <c r="J536" s="4"/>
      <c r="Q536" s="1"/>
      <c r="R536" s="1"/>
      <c r="S536" s="1"/>
      <c r="T536" s="1"/>
      <c r="U536" s="1"/>
    </row>
    <row r="537" spans="2:21" ht="15" x14ac:dyDescent="0.3">
      <c r="C537" s="285" t="s">
        <v>176</v>
      </c>
      <c r="J537" s="4"/>
      <c r="Q537" s="1"/>
      <c r="R537" s="1"/>
      <c r="S537" s="1"/>
      <c r="T537" s="1"/>
      <c r="U537" s="1"/>
    </row>
    <row r="538" spans="2:21" ht="13" x14ac:dyDescent="0.3">
      <c r="C538" s="162" t="s">
        <v>177</v>
      </c>
      <c r="J538" s="4"/>
      <c r="Q538" s="1"/>
      <c r="R538" s="1"/>
      <c r="S538" s="1"/>
      <c r="T538" s="1"/>
      <c r="U538" s="1"/>
    </row>
    <row r="549" spans="6:21" ht="12.5" x14ac:dyDescent="0.25"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</sheetData>
  <autoFilter ref="B3:T538" xr:uid="{00000000-0009-0000-0000-000003000000}"/>
  <mergeCells count="5">
    <mergeCell ref="B2:D2"/>
    <mergeCell ref="F2:J2"/>
    <mergeCell ref="K2:P2"/>
    <mergeCell ref="Q2:T2"/>
    <mergeCell ref="V2:Y2"/>
  </mergeCells>
  <pageMargins left="0.78740157499999996" right="0.78740157499999996" top="0.984251969" bottom="0.984251969" header="0.49212598499999999" footer="0.49212598499999999"/>
  <pageSetup orientation="portrait" r:id="rId1"/>
  <headerFooter alignWithMargins="0">
    <oddFooter>&amp;C_x000D_&amp;1#&amp;"Calibri"&amp;10&amp;K000000 INFORMAÇÃO INTERNA – INTERNAL INFORMATION</oddFooter>
  </headerFooter>
</worksheet>
</file>

<file path=docMetadata/LabelInfo.xml><?xml version="1.0" encoding="utf-8"?>
<clbl:labelList xmlns:clbl="http://schemas.microsoft.com/office/2020/mipLabelMetadata">
  <clbl:label id="{4aeda764-ac5d-4c78-8b24-fe1405747852}" enabled="1" method="Standard" siteId="{f9cfd8cb-c4a5-4677-b65d-3150dda310c9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SITE (Imprensa)_PT</vt:lpstr>
      <vt:lpstr>SITE (Imprensa)_ING</vt:lpstr>
      <vt:lpstr>'SITE (Imprensa)_PT'!Titulos_de_impressao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Dantas</dc:creator>
  <cp:lastModifiedBy>Ana Paula de Souza Zane</cp:lastModifiedBy>
  <dcterms:created xsi:type="dcterms:W3CDTF">2024-11-06T17:38:45Z</dcterms:created>
  <dcterms:modified xsi:type="dcterms:W3CDTF">2025-05-08T19:16:04Z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aeda764-ac5d-4c78-8b24-fe1405747852_Enabled">
    <vt:lpwstr>true</vt:lpwstr>
  </property>
  <property fmtid="{D5CDD505-2E9C-101B-9397-08002B2CF9AE}" pid="3" name="MSIP_Label_4aeda764-ac5d-4c78-8b24-fe1405747852_SetDate">
    <vt:lpwstr>2024-11-06T17:39:10Z</vt:lpwstr>
  </property>
  <property fmtid="{D5CDD505-2E9C-101B-9397-08002B2CF9AE}" pid="4" name="MSIP_Label_4aeda764-ac5d-4c78-8b24-fe1405747852_Method">
    <vt:lpwstr>Standard</vt:lpwstr>
  </property>
  <property fmtid="{D5CDD505-2E9C-101B-9397-08002B2CF9AE}" pid="5" name="MSIP_Label_4aeda764-ac5d-4c78-8b24-fe1405747852_Name">
    <vt:lpwstr>4aeda764-ac5d-4c78-8b24-fe1405747852</vt:lpwstr>
  </property>
  <property fmtid="{D5CDD505-2E9C-101B-9397-08002B2CF9AE}" pid="6" name="MSIP_Label_4aeda764-ac5d-4c78-8b24-fe1405747852_SiteId">
    <vt:lpwstr>f9cfd8cb-c4a5-4677-b65d-3150dda310c9</vt:lpwstr>
  </property>
  <property fmtid="{D5CDD505-2E9C-101B-9397-08002B2CF9AE}" pid="7" name="MSIP_Label_4aeda764-ac5d-4c78-8b24-fe1405747852_ActionId">
    <vt:lpwstr>a4d2ad7e-7096-44c1-be8b-c8b87ef7752a</vt:lpwstr>
  </property>
  <property fmtid="{D5CDD505-2E9C-101B-9397-08002B2CF9AE}" pid="8" name="MSIP_Label_4aeda764-ac5d-4c78-8b24-fe1405747852_ContentBits">
    <vt:lpwstr>2</vt:lpwstr>
  </property>
</Properties>
</file>